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D:\Desktop Data\RIL 4th Week\"/>
    </mc:Choice>
  </mc:AlternateContent>
  <xr:revisionPtr revIDLastSave="0" documentId="13_ncr:1_{0412E94D-0337-4020-AC14-D75AB6864C19}" xr6:coauthVersionLast="47" xr6:coauthVersionMax="47" xr10:uidLastSave="{00000000-0000-0000-0000-000000000000}"/>
  <bookViews>
    <workbookView xWindow="-120" yWindow="-120" windowWidth="20730" windowHeight="11160" tabRatio="648" firstSheet="16" activeTab="21" xr2:uid="{FC0C5651-55DF-428D-B44B-516314C33FC7}"/>
  </bookViews>
  <sheets>
    <sheet name="Cover Page" sheetId="15" r:id="rId1"/>
    <sheet name="Equipment List " sheetId="14" r:id="rId2"/>
    <sheet name="Capex" sheetId="5" r:id="rId3"/>
    <sheet name="Opex Segmental(84 KTPA)" sheetId="11" r:id="rId4"/>
    <sheet name="Opex" sheetId="6" state="hidden" r:id="rId5"/>
    <sheet name="Opex Total(84 KTPA)" sheetId="18" r:id="rId6"/>
    <sheet name="Salary and Wages Estimation" sheetId="21" r:id="rId7"/>
    <sheet name="Cash Flow Epoxy Resin" sheetId="10" r:id="rId8"/>
    <sheet name="Cash Flow" sheetId="7" state="hidden" r:id="rId9"/>
    <sheet name="Cost of Production - LER" sheetId="24" r:id="rId10"/>
    <sheet name="Cost of Production - SER" sheetId="23" r:id="rId11"/>
    <sheet name="Cost of Production - SSER" sheetId="25" r:id="rId12"/>
    <sheet name="Cost of Production- Specialized" sheetId="30" r:id="rId13"/>
    <sheet name="Working sheet" sheetId="9" r:id="rId14"/>
    <sheet name="India - Epoxy Resin" sheetId="31" r:id="rId15"/>
    <sheet name="India-Raw Material Prices " sheetId="35" r:id="rId16"/>
    <sheet name="China Epoxy Resin" sheetId="37" r:id="rId17"/>
    <sheet name="India-Epoxy Resin Prices " sheetId="36" r:id="rId18"/>
    <sheet name="South Korea" sheetId="32" r:id="rId19"/>
    <sheet name="Germany" sheetId="33" r:id="rId20"/>
    <sheet name="USA" sheetId="34" r:id="rId21"/>
    <sheet name="India Market" sheetId="38" r:id="rId22"/>
  </sheets>
  <externalReferences>
    <externalReference r:id="rId23"/>
  </externalReferences>
  <definedNames>
    <definedName name="_xlnm._FilterDatabase" localSheetId="16" hidden="1">'China Epoxy Resin'!$A$1:$E$154</definedName>
    <definedName name="_xlnm._FilterDatabase" localSheetId="10" hidden="1">'Cost of Production - SER'!#REF!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2" i="10" l="1"/>
  <c r="D47" i="11" l="1"/>
  <c r="D46" i="11"/>
  <c r="D26" i="11"/>
  <c r="D27" i="11"/>
  <c r="F26" i="11" l="1"/>
  <c r="G26" i="11" s="1"/>
  <c r="H26" i="11" s="1"/>
  <c r="I26" i="11" s="1"/>
  <c r="J26" i="11" s="1"/>
  <c r="K26" i="11" s="1"/>
  <c r="L26" i="11" s="1"/>
  <c r="M26" i="11" s="1"/>
  <c r="N26" i="11" s="1"/>
  <c r="O26" i="11" s="1"/>
  <c r="P26" i="11" s="1"/>
  <c r="Q26" i="11" s="1"/>
  <c r="D6" i="11"/>
  <c r="E10" i="24"/>
  <c r="E8" i="24"/>
  <c r="E9" i="24"/>
  <c r="E7" i="24"/>
  <c r="F27" i="11"/>
  <c r="G27" i="11" s="1"/>
  <c r="H27" i="11" s="1"/>
  <c r="I27" i="11" s="1"/>
  <c r="J27" i="11" s="1"/>
  <c r="K27" i="11" s="1"/>
  <c r="L27" i="11" s="1"/>
  <c r="M27" i="11" s="1"/>
  <c r="N27" i="11" s="1"/>
  <c r="O27" i="11" s="1"/>
  <c r="P27" i="11" s="1"/>
  <c r="Q27" i="11" s="1"/>
  <c r="C8" i="25"/>
  <c r="C8" i="23"/>
  <c r="E12" i="10"/>
  <c r="F12" i="10" s="1"/>
  <c r="E10" i="10"/>
  <c r="F10" i="10" s="1"/>
  <c r="G10" i="10" s="1"/>
  <c r="E8" i="25" l="1"/>
  <c r="E7" i="25"/>
  <c r="E8" i="23"/>
  <c r="E7" i="23"/>
  <c r="E9" i="25" l="1"/>
  <c r="E9" i="23"/>
  <c r="D71" i="11" l="1"/>
  <c r="D12" i="11"/>
  <c r="E11" i="24" s="1"/>
  <c r="D72" i="11"/>
  <c r="D51" i="11"/>
  <c r="D31" i="11"/>
  <c r="D11" i="11"/>
  <c r="D67" i="11"/>
  <c r="D66" i="11"/>
  <c r="D78" i="11" s="1"/>
  <c r="D52" i="11"/>
  <c r="E10" i="25" s="1"/>
  <c r="D32" i="11"/>
  <c r="E10" i="23" s="1"/>
  <c r="D49" i="11"/>
  <c r="D69" i="11"/>
  <c r="D29" i="11"/>
  <c r="D9" i="11"/>
  <c r="E13" i="24" s="1"/>
  <c r="D11" i="21"/>
  <c r="D10" i="21"/>
  <c r="B3" i="21"/>
  <c r="D5" i="21"/>
  <c r="D6" i="21"/>
  <c r="D7" i="21"/>
  <c r="D8" i="21"/>
  <c r="D9" i="21"/>
  <c r="D4" i="21"/>
  <c r="D7" i="11"/>
  <c r="E12" i="24" s="1"/>
  <c r="D4" i="5"/>
  <c r="M66" i="14"/>
  <c r="E66" i="14"/>
  <c r="E14" i="10"/>
  <c r="F14" i="10" s="1"/>
  <c r="G14" i="10" s="1"/>
  <c r="H14" i="10" s="1"/>
  <c r="I14" i="10" s="1"/>
  <c r="J14" i="10" s="1"/>
  <c r="K14" i="10" s="1"/>
  <c r="L14" i="10" s="1"/>
  <c r="M14" i="10" s="1"/>
  <c r="H10" i="10"/>
  <c r="I10" i="10" s="1"/>
  <c r="J10" i="10" s="1"/>
  <c r="K10" i="10" s="1"/>
  <c r="L10" i="10" s="1"/>
  <c r="M10" i="10" s="1"/>
  <c r="G12" i="10"/>
  <c r="H12" i="10" s="1"/>
  <c r="I12" i="10" s="1"/>
  <c r="J12" i="10" s="1"/>
  <c r="K12" i="10" s="1"/>
  <c r="L12" i="10" s="1"/>
  <c r="M12" i="10" s="1"/>
  <c r="D28" i="11" l="1"/>
  <c r="E12" i="23"/>
  <c r="F29" i="11"/>
  <c r="E15" i="23"/>
  <c r="E12" i="25"/>
  <c r="E15" i="25" s="1"/>
  <c r="F49" i="11"/>
  <c r="C14" i="5"/>
  <c r="C11" i="5"/>
  <c r="C9" i="5"/>
  <c r="C15" i="5"/>
  <c r="C6" i="5"/>
  <c r="C10" i="5"/>
  <c r="C8" i="5"/>
  <c r="C16" i="5"/>
  <c r="C7" i="5"/>
  <c r="C5" i="5"/>
  <c r="C13" i="5"/>
  <c r="D11" i="18"/>
  <c r="D10" i="11"/>
  <c r="D10" i="18"/>
  <c r="D70" i="11"/>
  <c r="D50" i="11"/>
  <c r="D30" i="11"/>
  <c r="D79" i="11"/>
  <c r="D77" i="11" s="1"/>
  <c r="H4" i="14"/>
  <c r="M11" i="14" s="1"/>
  <c r="P29" i="14"/>
  <c r="M15" i="10"/>
  <c r="L15" i="10"/>
  <c r="K15" i="10"/>
  <c r="J15" i="10"/>
  <c r="I15" i="10"/>
  <c r="E16" i="10"/>
  <c r="F16" i="10" s="1"/>
  <c r="G16" i="10" s="1"/>
  <c r="H16" i="10" s="1"/>
  <c r="I16" i="10" s="1"/>
  <c r="J16" i="10" s="1"/>
  <c r="K16" i="10" s="1"/>
  <c r="L16" i="10" s="1"/>
  <c r="M16" i="10" s="1"/>
  <c r="H15" i="10"/>
  <c r="G15" i="10"/>
  <c r="F15" i="10"/>
  <c r="E15" i="10"/>
  <c r="D15" i="10"/>
  <c r="M13" i="10"/>
  <c r="L13" i="10"/>
  <c r="K13" i="10"/>
  <c r="J13" i="10"/>
  <c r="I13" i="10"/>
  <c r="H13" i="10"/>
  <c r="G13" i="10"/>
  <c r="F13" i="10"/>
  <c r="E13" i="10"/>
  <c r="D13" i="10"/>
  <c r="K11" i="10"/>
  <c r="L11" i="10"/>
  <c r="M11" i="10"/>
  <c r="J11" i="10"/>
  <c r="I11" i="10"/>
  <c r="H11" i="10"/>
  <c r="G11" i="10"/>
  <c r="F11" i="10"/>
  <c r="E11" i="10"/>
  <c r="D11" i="10"/>
  <c r="M9" i="10"/>
  <c r="L9" i="10"/>
  <c r="K9" i="10"/>
  <c r="J9" i="10"/>
  <c r="I9" i="10"/>
  <c r="H9" i="10"/>
  <c r="G9" i="10"/>
  <c r="F9" i="10"/>
  <c r="E9" i="10"/>
  <c r="D9" i="10"/>
  <c r="F69" i="11"/>
  <c r="G69" i="11" s="1"/>
  <c r="G49" i="11"/>
  <c r="F28" i="11" l="1"/>
  <c r="G29" i="11"/>
  <c r="M8" i="10"/>
  <c r="E8" i="10"/>
  <c r="F68" i="11"/>
  <c r="E11" i="14"/>
  <c r="D8" i="10"/>
  <c r="F8" i="10"/>
  <c r="G8" i="10"/>
  <c r="H8" i="10"/>
  <c r="I8" i="10"/>
  <c r="L8" i="10"/>
  <c r="J8" i="10"/>
  <c r="K8" i="10"/>
  <c r="H69" i="11"/>
  <c r="G68" i="11"/>
  <c r="H49" i="11"/>
  <c r="G48" i="11"/>
  <c r="F48" i="11"/>
  <c r="H29" i="11" l="1"/>
  <c r="G28" i="11"/>
  <c r="I69" i="11"/>
  <c r="H68" i="11"/>
  <c r="I49" i="11"/>
  <c r="H48" i="11"/>
  <c r="I29" i="11" l="1"/>
  <c r="H28" i="11"/>
  <c r="I68" i="11"/>
  <c r="J69" i="11"/>
  <c r="I48" i="11"/>
  <c r="J49" i="11"/>
  <c r="J29" i="11" l="1"/>
  <c r="I28" i="11"/>
  <c r="K69" i="11"/>
  <c r="J68" i="11"/>
  <c r="J48" i="11"/>
  <c r="K49" i="11"/>
  <c r="J28" i="11" l="1"/>
  <c r="K29" i="11"/>
  <c r="L69" i="11"/>
  <c r="K68" i="11"/>
  <c r="L49" i="11"/>
  <c r="K48" i="11"/>
  <c r="L29" i="11" l="1"/>
  <c r="K28" i="11"/>
  <c r="M69" i="11"/>
  <c r="L68" i="11"/>
  <c r="M49" i="11"/>
  <c r="L48" i="11"/>
  <c r="M29" i="11" l="1"/>
  <c r="L28" i="11"/>
  <c r="M68" i="11"/>
  <c r="N69" i="11"/>
  <c r="M48" i="11"/>
  <c r="N49" i="11"/>
  <c r="M28" i="11" l="1"/>
  <c r="N29" i="11"/>
  <c r="O69" i="11"/>
  <c r="N68" i="11"/>
  <c r="O49" i="11"/>
  <c r="N48" i="11"/>
  <c r="N28" i="11" l="1"/>
  <c r="O29" i="11"/>
  <c r="P69" i="11"/>
  <c r="O68" i="11"/>
  <c r="P49" i="11"/>
  <c r="O48" i="11"/>
  <c r="P29" i="11" l="1"/>
  <c r="O28" i="11"/>
  <c r="Q69" i="11"/>
  <c r="Q68" i="11" s="1"/>
  <c r="P68" i="11"/>
  <c r="Q49" i="11"/>
  <c r="Q48" i="11" s="1"/>
  <c r="P48" i="11"/>
  <c r="P28" i="11" l="1"/>
  <c r="Q29" i="11"/>
  <c r="Q28" i="11" s="1"/>
  <c r="E10" i="18"/>
  <c r="D8" i="18"/>
  <c r="F66" i="11"/>
  <c r="F67" i="11"/>
  <c r="G67" i="11" s="1"/>
  <c r="H67" i="11" s="1"/>
  <c r="I67" i="11" s="1"/>
  <c r="J67" i="11" s="1"/>
  <c r="K67" i="11" s="1"/>
  <c r="L67" i="11" s="1"/>
  <c r="M67" i="11" s="1"/>
  <c r="N67" i="11" s="1"/>
  <c r="O67" i="11" s="1"/>
  <c r="P67" i="11" s="1"/>
  <c r="Q67" i="11" s="1"/>
  <c r="M31" i="14"/>
  <c r="E31" i="14"/>
  <c r="F47" i="11"/>
  <c r="G47" i="11" s="1"/>
  <c r="H47" i="11" s="1"/>
  <c r="I47" i="11" s="1"/>
  <c r="J47" i="11" s="1"/>
  <c r="K47" i="11" s="1"/>
  <c r="L47" i="11" s="1"/>
  <c r="M47" i="11" s="1"/>
  <c r="N47" i="11" s="1"/>
  <c r="O47" i="11" s="1"/>
  <c r="P47" i="11" s="1"/>
  <c r="Q47" i="11" s="1"/>
  <c r="D42" i="10"/>
  <c r="E42" i="10" s="1"/>
  <c r="F42" i="10" s="1"/>
  <c r="G42" i="10" s="1"/>
  <c r="H42" i="10" s="1"/>
  <c r="I42" i="10" s="1"/>
  <c r="J42" i="10" s="1"/>
  <c r="K42" i="10" s="1"/>
  <c r="L42" i="10" s="1"/>
  <c r="M42" i="10" s="1"/>
  <c r="D5" i="18" l="1"/>
  <c r="D27" i="10" s="1"/>
  <c r="D6" i="18"/>
  <c r="D25" i="11"/>
  <c r="G66" i="11"/>
  <c r="F65" i="11"/>
  <c r="D45" i="11"/>
  <c r="F46" i="11"/>
  <c r="D9" i="18"/>
  <c r="D65" i="11"/>
  <c r="F10" i="18"/>
  <c r="E11" i="18"/>
  <c r="F11" i="18" s="1"/>
  <c r="G11" i="18" s="1"/>
  <c r="H11" i="18" s="1"/>
  <c r="I11" i="18" s="1"/>
  <c r="J11" i="18" s="1"/>
  <c r="K11" i="18" s="1"/>
  <c r="L11" i="18" s="1"/>
  <c r="M11" i="18" s="1"/>
  <c r="N11" i="18" s="1"/>
  <c r="O11" i="18" s="1"/>
  <c r="P11" i="18" s="1"/>
  <c r="D68" i="11"/>
  <c r="D48" i="11"/>
  <c r="F6" i="11"/>
  <c r="D5" i="11"/>
  <c r="D3" i="5"/>
  <c r="D12" i="5"/>
  <c r="M63" i="14"/>
  <c r="E63" i="14"/>
  <c r="D29" i="10" l="1"/>
  <c r="D4" i="18"/>
  <c r="H66" i="11"/>
  <c r="G65" i="11"/>
  <c r="G46" i="11"/>
  <c r="F45" i="11"/>
  <c r="F25" i="11"/>
  <c r="G6" i="11"/>
  <c r="E6" i="18"/>
  <c r="G10" i="18"/>
  <c r="F9" i="18"/>
  <c r="F29" i="10" s="1"/>
  <c r="E9" i="18"/>
  <c r="E29" i="10" s="1"/>
  <c r="D7" i="18"/>
  <c r="D28" i="10" s="1"/>
  <c r="F5" i="11"/>
  <c r="E5" i="18" s="1"/>
  <c r="D2" i="5"/>
  <c r="D19" i="5" s="1"/>
  <c r="C17" i="5" s="1"/>
  <c r="D74" i="11" l="1"/>
  <c r="D14" i="11"/>
  <c r="E19" i="24" s="1"/>
  <c r="D54" i="11"/>
  <c r="E18" i="25" s="1"/>
  <c r="D34" i="11"/>
  <c r="E18" i="23" s="1"/>
  <c r="H6" i="11"/>
  <c r="F6" i="18"/>
  <c r="G25" i="11"/>
  <c r="H46" i="11"/>
  <c r="G45" i="11"/>
  <c r="E27" i="10"/>
  <c r="E4" i="18"/>
  <c r="H65" i="11"/>
  <c r="I66" i="11"/>
  <c r="H10" i="18"/>
  <c r="G9" i="18"/>
  <c r="G29" i="10" s="1"/>
  <c r="G5" i="11"/>
  <c r="F5" i="18" s="1"/>
  <c r="F4" i="11"/>
  <c r="D56" i="11" l="1"/>
  <c r="E20" i="25" s="1"/>
  <c r="D55" i="11"/>
  <c r="D16" i="11"/>
  <c r="E21" i="24" s="1"/>
  <c r="D13" i="18"/>
  <c r="D15" i="11"/>
  <c r="E20" i="24" s="1"/>
  <c r="D35" i="11"/>
  <c r="E19" i="23" s="1"/>
  <c r="D36" i="11"/>
  <c r="E20" i="23" s="1"/>
  <c r="D76" i="11"/>
  <c r="D75" i="11"/>
  <c r="H45" i="11"/>
  <c r="I46" i="11"/>
  <c r="F27" i="10"/>
  <c r="F4" i="18"/>
  <c r="H25" i="11"/>
  <c r="I65" i="11"/>
  <c r="J66" i="11"/>
  <c r="I6" i="11"/>
  <c r="G6" i="18"/>
  <c r="H9" i="18"/>
  <c r="H29" i="10" s="1"/>
  <c r="I10" i="18"/>
  <c r="H5" i="11"/>
  <c r="G5" i="18" s="1"/>
  <c r="G4" i="11"/>
  <c r="E21" i="23" l="1"/>
  <c r="E22" i="23" s="1"/>
  <c r="D53" i="11"/>
  <c r="D44" i="11" s="1"/>
  <c r="D59" i="11" s="1"/>
  <c r="E19" i="25"/>
  <c r="E21" i="25" s="1"/>
  <c r="E22" i="25" s="1"/>
  <c r="E22" i="24"/>
  <c r="D15" i="18"/>
  <c r="D33" i="11"/>
  <c r="D24" i="11" s="1"/>
  <c r="D38" i="11" s="1"/>
  <c r="D73" i="11"/>
  <c r="D64" i="11" s="1"/>
  <c r="D13" i="11"/>
  <c r="D14" i="18"/>
  <c r="J6" i="11"/>
  <c r="H6" i="18"/>
  <c r="G27" i="10"/>
  <c r="G4" i="18"/>
  <c r="K66" i="11"/>
  <c r="J65" i="11"/>
  <c r="I45" i="11"/>
  <c r="J46" i="11"/>
  <c r="I25" i="11"/>
  <c r="I9" i="18"/>
  <c r="I29" i="10" s="1"/>
  <c r="J10" i="18"/>
  <c r="I5" i="11"/>
  <c r="H5" i="18" s="1"/>
  <c r="H4" i="11"/>
  <c r="G22" i="6"/>
  <c r="H22" i="6" s="1"/>
  <c r="D58" i="11" l="1"/>
  <c r="D39" i="11"/>
  <c r="D37" i="11" s="1"/>
  <c r="D80" i="11"/>
  <c r="E80" i="11" s="1"/>
  <c r="D57" i="11"/>
  <c r="K6" i="11"/>
  <c r="I6" i="18"/>
  <c r="J25" i="11"/>
  <c r="J45" i="11"/>
  <c r="K46" i="11"/>
  <c r="L66" i="11"/>
  <c r="K65" i="11"/>
  <c r="H27" i="10"/>
  <c r="H4" i="18"/>
  <c r="K10" i="18"/>
  <c r="J9" i="18"/>
  <c r="J29" i="10" s="1"/>
  <c r="J5" i="11"/>
  <c r="I5" i="18" s="1"/>
  <c r="I4" i="11"/>
  <c r="E4" i="9"/>
  <c r="E5" i="9" s="1"/>
  <c r="D20" i="10" s="1"/>
  <c r="F4" i="9"/>
  <c r="G4" i="9"/>
  <c r="D40" i="11" l="1"/>
  <c r="E41" i="11" s="1"/>
  <c r="F33" i="11"/>
  <c r="D60" i="11"/>
  <c r="E60" i="11" s="1"/>
  <c r="M66" i="11"/>
  <c r="L65" i="11"/>
  <c r="I27" i="10"/>
  <c r="I4" i="18"/>
  <c r="K45" i="11"/>
  <c r="L46" i="11"/>
  <c r="K25" i="11"/>
  <c r="L6" i="11"/>
  <c r="J6" i="18"/>
  <c r="L10" i="18"/>
  <c r="K9" i="18"/>
  <c r="K29" i="10" s="1"/>
  <c r="K5" i="11"/>
  <c r="J5" i="18" s="1"/>
  <c r="J4" i="11"/>
  <c r="F8" i="11"/>
  <c r="E8" i="18" s="1"/>
  <c r="E7" i="18" s="1"/>
  <c r="E28" i="10" s="1"/>
  <c r="D8" i="11"/>
  <c r="J4" i="9"/>
  <c r="I4" i="9"/>
  <c r="H4" i="9"/>
  <c r="K4" i="9"/>
  <c r="L45" i="11" l="1"/>
  <c r="M46" i="11"/>
  <c r="L25" i="11"/>
  <c r="J27" i="10"/>
  <c r="J4" i="18"/>
  <c r="M6" i="11"/>
  <c r="K6" i="18"/>
  <c r="M65" i="11"/>
  <c r="N66" i="11"/>
  <c r="M10" i="18"/>
  <c r="L9" i="18"/>
  <c r="L29" i="10" s="1"/>
  <c r="F7" i="11"/>
  <c r="G8" i="11"/>
  <c r="F8" i="18" s="1"/>
  <c r="F7" i="18" s="1"/>
  <c r="F28" i="10" s="1"/>
  <c r="L5" i="11"/>
  <c r="K5" i="18" s="1"/>
  <c r="K4" i="11"/>
  <c r="L4" i="9"/>
  <c r="N6" i="11" l="1"/>
  <c r="L6" i="18"/>
  <c r="M25" i="11"/>
  <c r="O66" i="11"/>
  <c r="N65" i="11"/>
  <c r="M45" i="11"/>
  <c r="N46" i="11"/>
  <c r="K27" i="10"/>
  <c r="K4" i="18"/>
  <c r="M9" i="18"/>
  <c r="M29" i="10" s="1"/>
  <c r="N10" i="18"/>
  <c r="M5" i="11"/>
  <c r="L5" i="18" s="1"/>
  <c r="L4" i="11"/>
  <c r="H8" i="11"/>
  <c r="G8" i="18" s="1"/>
  <c r="G7" i="18" s="1"/>
  <c r="G28" i="10" s="1"/>
  <c r="G7" i="11"/>
  <c r="M4" i="9"/>
  <c r="O46" i="11" l="1"/>
  <c r="N45" i="11"/>
  <c r="O65" i="11"/>
  <c r="P66" i="11"/>
  <c r="L27" i="10"/>
  <c r="L4" i="18"/>
  <c r="N25" i="11"/>
  <c r="O6" i="11"/>
  <c r="M6" i="18"/>
  <c r="O10" i="18"/>
  <c r="N9" i="18"/>
  <c r="N5" i="11"/>
  <c r="M5" i="18" s="1"/>
  <c r="M4" i="11"/>
  <c r="I8" i="11"/>
  <c r="H8" i="18" s="1"/>
  <c r="H7" i="18" s="1"/>
  <c r="H28" i="10" s="1"/>
  <c r="H7" i="11"/>
  <c r="N4" i="9"/>
  <c r="K18" i="7"/>
  <c r="L18" i="7"/>
  <c r="M18" i="7"/>
  <c r="N32" i="7"/>
  <c r="O32" i="7"/>
  <c r="D4" i="6"/>
  <c r="F26" i="7" s="1"/>
  <c r="M9" i="7"/>
  <c r="O4" i="9" s="1"/>
  <c r="L9" i="7"/>
  <c r="K9" i="7"/>
  <c r="L5" i="9" s="1"/>
  <c r="K20" i="10" s="1"/>
  <c r="K11" i="7"/>
  <c r="L11" i="7" s="1"/>
  <c r="M11" i="7" s="1"/>
  <c r="M10" i="7"/>
  <c r="L10" i="7"/>
  <c r="K10" i="7"/>
  <c r="H5" i="9"/>
  <c r="G20" i="10" s="1"/>
  <c r="I5" i="9"/>
  <c r="H20" i="10" s="1"/>
  <c r="I9" i="7"/>
  <c r="H9" i="7"/>
  <c r="G9" i="7"/>
  <c r="F9" i="7"/>
  <c r="E9" i="7"/>
  <c r="F11" i="7"/>
  <c r="G11" i="7"/>
  <c r="H11" i="7" s="1"/>
  <c r="I11" i="7" s="1"/>
  <c r="J11" i="7" s="1"/>
  <c r="E11" i="7"/>
  <c r="J10" i="7"/>
  <c r="I10" i="7"/>
  <c r="H10" i="7"/>
  <c r="G10" i="7"/>
  <c r="F10" i="7"/>
  <c r="E10" i="7"/>
  <c r="D10" i="7"/>
  <c r="J9" i="7"/>
  <c r="D9" i="7"/>
  <c r="K5" i="9"/>
  <c r="J20" i="10" s="1"/>
  <c r="J5" i="9"/>
  <c r="I20" i="10" s="1"/>
  <c r="D40" i="7"/>
  <c r="E40" i="7" s="1"/>
  <c r="F40" i="7" s="1"/>
  <c r="G40" i="7" s="1"/>
  <c r="H40" i="7" s="1"/>
  <c r="I40" i="7" s="1"/>
  <c r="J40" i="7" s="1"/>
  <c r="F7" i="6"/>
  <c r="P6" i="11" l="1"/>
  <c r="N6" i="18"/>
  <c r="M27" i="10"/>
  <c r="M4" i="18"/>
  <c r="O25" i="11"/>
  <c r="Q66" i="11"/>
  <c r="Q65" i="11" s="1"/>
  <c r="P65" i="11"/>
  <c r="P46" i="11"/>
  <c r="O45" i="11"/>
  <c r="P10" i="18"/>
  <c r="O9" i="18"/>
  <c r="O5" i="11"/>
  <c r="N5" i="18" s="1"/>
  <c r="N4" i="11"/>
  <c r="J8" i="11"/>
  <c r="I8" i="18" s="1"/>
  <c r="I7" i="18" s="1"/>
  <c r="I28" i="10" s="1"/>
  <c r="I7" i="11"/>
  <c r="K14" i="7"/>
  <c r="J14" i="7"/>
  <c r="I14" i="7"/>
  <c r="G14" i="7"/>
  <c r="H14" i="7"/>
  <c r="H26" i="7"/>
  <c r="J26" i="7"/>
  <c r="G26" i="7"/>
  <c r="K26" i="7"/>
  <c r="D26" i="7"/>
  <c r="L26" i="7"/>
  <c r="E26" i="7"/>
  <c r="M26" i="7"/>
  <c r="D14" i="7"/>
  <c r="N5" i="9"/>
  <c r="M5" i="9"/>
  <c r="F4" i="6"/>
  <c r="I26" i="7" s="1"/>
  <c r="P9" i="18" l="1"/>
  <c r="N4" i="18"/>
  <c r="Q25" i="11"/>
  <c r="P25" i="11"/>
  <c r="Q46" i="11"/>
  <c r="Q45" i="11" s="1"/>
  <c r="P45" i="11"/>
  <c r="Q6" i="11"/>
  <c r="P6" i="18" s="1"/>
  <c r="O6" i="18"/>
  <c r="P5" i="11"/>
  <c r="O5" i="18" s="1"/>
  <c r="O4" i="11"/>
  <c r="K8" i="11"/>
  <c r="J8" i="18" s="1"/>
  <c r="J7" i="18" s="1"/>
  <c r="J28" i="10" s="1"/>
  <c r="J7" i="11"/>
  <c r="M14" i="7"/>
  <c r="M20" i="10"/>
  <c r="L14" i="7"/>
  <c r="L20" i="10"/>
  <c r="G18" i="7"/>
  <c r="H18" i="7"/>
  <c r="I18" i="7"/>
  <c r="J18" i="7"/>
  <c r="F18" i="7"/>
  <c r="D5" i="6"/>
  <c r="F23" i="6"/>
  <c r="O4" i="18" l="1"/>
  <c r="P4" i="11"/>
  <c r="Q5" i="11"/>
  <c r="L8" i="11"/>
  <c r="K8" i="18" s="1"/>
  <c r="K7" i="18" s="1"/>
  <c r="K28" i="10" s="1"/>
  <c r="K7" i="11"/>
  <c r="E18" i="7"/>
  <c r="D18" i="7"/>
  <c r="F5" i="6"/>
  <c r="D6" i="6"/>
  <c r="D10" i="6"/>
  <c r="Q4" i="11" l="1"/>
  <c r="P5" i="18"/>
  <c r="P4" i="18" s="1"/>
  <c r="M8" i="11"/>
  <c r="L8" i="18" s="1"/>
  <c r="L7" i="18" s="1"/>
  <c r="L28" i="10" s="1"/>
  <c r="L7" i="11"/>
  <c r="L27" i="7"/>
  <c r="K27" i="7"/>
  <c r="I27" i="7"/>
  <c r="J27" i="7"/>
  <c r="H27" i="7"/>
  <c r="M27" i="7"/>
  <c r="G27" i="7"/>
  <c r="E27" i="7"/>
  <c r="F27" i="7"/>
  <c r="D27" i="7"/>
  <c r="F10" i="6"/>
  <c r="F6" i="6"/>
  <c r="N8" i="11" l="1"/>
  <c r="M8" i="18" s="1"/>
  <c r="M7" i="18" s="1"/>
  <c r="M28" i="10" s="1"/>
  <c r="M7" i="11"/>
  <c r="F14" i="6"/>
  <c r="N7" i="11" l="1"/>
  <c r="O8" i="11"/>
  <c r="N8" i="18" s="1"/>
  <c r="N7" i="18" s="1"/>
  <c r="D8" i="6"/>
  <c r="F8" i="6" s="1"/>
  <c r="G8" i="6"/>
  <c r="C5" i="10"/>
  <c r="C7" i="7"/>
  <c r="D13" i="6"/>
  <c r="F13" i="6" s="1"/>
  <c r="P8" i="11" l="1"/>
  <c r="O8" i="18" s="1"/>
  <c r="O7" i="18" s="1"/>
  <c r="O7" i="11"/>
  <c r="D17" i="6"/>
  <c r="F17" i="6" s="1"/>
  <c r="D9" i="6"/>
  <c r="F9" i="6" s="1"/>
  <c r="D15" i="6"/>
  <c r="F15" i="6" s="1"/>
  <c r="C40" i="10"/>
  <c r="C4" i="10"/>
  <c r="Q8" i="11" l="1"/>
  <c r="P7" i="11"/>
  <c r="D36" i="10"/>
  <c r="E36" i="10" s="1"/>
  <c r="F36" i="10" s="1"/>
  <c r="G36" i="10" s="1"/>
  <c r="H36" i="10" s="1"/>
  <c r="I36" i="10" s="1"/>
  <c r="J36" i="10" s="1"/>
  <c r="K36" i="10" s="1"/>
  <c r="L36" i="10" s="1"/>
  <c r="M36" i="10" s="1"/>
  <c r="D12" i="6"/>
  <c r="F12" i="6" s="1"/>
  <c r="C44" i="10"/>
  <c r="C43" i="10"/>
  <c r="C22" i="7"/>
  <c r="C37" i="7" s="1"/>
  <c r="C18" i="7"/>
  <c r="Q7" i="11" l="1"/>
  <c r="P8" i="18"/>
  <c r="P7" i="18" s="1"/>
  <c r="C45" i="10"/>
  <c r="C38" i="7"/>
  <c r="G5" i="9" l="1"/>
  <c r="F5" i="9"/>
  <c r="F20" i="10" l="1"/>
  <c r="F14" i="7"/>
  <c r="E20" i="10"/>
  <c r="E14" i="7"/>
  <c r="D3" i="6"/>
  <c r="D2" i="6" s="1"/>
  <c r="D18" i="6" s="1"/>
  <c r="F11" i="6"/>
  <c r="D19" i="6" l="1"/>
  <c r="D25" i="7" l="1"/>
  <c r="F19" i="6"/>
  <c r="J28" i="7"/>
  <c r="J30" i="7" s="1"/>
  <c r="F18" i="6"/>
  <c r="H28" i="7"/>
  <c r="H30" i="7" s="1"/>
  <c r="K28" i="7"/>
  <c r="K30" i="7" s="1"/>
  <c r="M28" i="7"/>
  <c r="M30" i="7" s="1"/>
  <c r="I28" i="7"/>
  <c r="I30" i="7" s="1"/>
  <c r="D28" i="7"/>
  <c r="E28" i="7"/>
  <c r="E30" i="7" s="1"/>
  <c r="D16" i="6"/>
  <c r="G28" i="7"/>
  <c r="G30" i="7" s="1"/>
  <c r="L28" i="7"/>
  <c r="L30" i="7" s="1"/>
  <c r="F28" i="7"/>
  <c r="F30" i="7" s="1"/>
  <c r="I32" i="7" l="1"/>
  <c r="M32" i="7"/>
  <c r="G32" i="7"/>
  <c r="L32" i="7"/>
  <c r="F16" i="6"/>
  <c r="D20" i="6"/>
  <c r="G20" i="6" s="1"/>
  <c r="H20" i="6" s="1"/>
  <c r="J32" i="7"/>
  <c r="F32" i="7"/>
  <c r="E32" i="7"/>
  <c r="K32" i="7"/>
  <c r="H32" i="7"/>
  <c r="D30" i="7"/>
  <c r="E36" i="7" l="1"/>
  <c r="E37" i="7" s="1"/>
  <c r="E41" i="7" s="1"/>
  <c r="F36" i="7"/>
  <c r="F37" i="7" s="1"/>
  <c r="F41" i="7" s="1"/>
  <c r="H36" i="7"/>
  <c r="H37" i="7" s="1"/>
  <c r="H41" i="7" s="1"/>
  <c r="G36" i="7"/>
  <c r="G37" i="7" s="1"/>
  <c r="G41" i="7" s="1"/>
  <c r="D24" i="6"/>
  <c r="F20" i="6"/>
  <c r="I36" i="7"/>
  <c r="I37" i="7" s="1"/>
  <c r="I41" i="7" s="1"/>
  <c r="D32" i="7"/>
  <c r="J36" i="7"/>
  <c r="J37" i="7" s="1"/>
  <c r="J41" i="7" s="1"/>
  <c r="D36" i="7" l="1"/>
  <c r="D37" i="7" s="1"/>
  <c r="D38" i="7" l="1"/>
  <c r="E38" i="7" s="1"/>
  <c r="F38" i="7" s="1"/>
  <c r="C43" i="7"/>
  <c r="D41" i="7"/>
  <c r="C42" i="7" s="1"/>
  <c r="C44" i="7" l="1"/>
  <c r="G38" i="7"/>
  <c r="H38" i="7" s="1"/>
  <c r="I38" i="7" s="1"/>
  <c r="J38" i="7" s="1"/>
  <c r="D4" i="11" l="1"/>
  <c r="D18" i="11" l="1"/>
  <c r="D17" i="18" s="1"/>
  <c r="D19" i="11"/>
  <c r="D18" i="18" s="1"/>
  <c r="G30" i="10"/>
  <c r="F30" i="10"/>
  <c r="E30" i="10"/>
  <c r="H30" i="10"/>
  <c r="I30" i="10"/>
  <c r="J30" i="10"/>
  <c r="K30" i="10" s="1"/>
  <c r="L30" i="10" s="1"/>
  <c r="M30" i="10" s="1"/>
  <c r="D30" i="10"/>
  <c r="D17" i="11" l="1"/>
  <c r="G16" i="11" l="1"/>
  <c r="E14" i="24"/>
  <c r="E16" i="24" s="1"/>
  <c r="E23" i="24" s="1"/>
  <c r="I31" i="10"/>
  <c r="I32" i="10" s="1"/>
  <c r="I34" i="10" s="1"/>
  <c r="I38" i="10" s="1"/>
  <c r="I40" i="10" s="1"/>
  <c r="G31" i="10"/>
  <c r="G32" i="10" s="1"/>
  <c r="G34" i="10" s="1"/>
  <c r="E31" i="10"/>
  <c r="E32" i="10" s="1"/>
  <c r="E34" i="10" s="1"/>
  <c r="E38" i="10" s="1"/>
  <c r="E40" i="10" s="1"/>
  <c r="F31" i="10"/>
  <c r="F32" i="10" s="1"/>
  <c r="F34" i="10" s="1"/>
  <c r="F38" i="10" s="1"/>
  <c r="F40" i="10" s="1"/>
  <c r="D20" i="11"/>
  <c r="E21" i="11" s="1"/>
  <c r="J31" i="10"/>
  <c r="K31" i="10" s="1"/>
  <c r="L31" i="10" s="1"/>
  <c r="H31" i="10"/>
  <c r="H32" i="10" s="1"/>
  <c r="H34" i="10" s="1"/>
  <c r="H38" i="10" s="1"/>
  <c r="H40" i="10" s="1"/>
  <c r="H44" i="10" s="1"/>
  <c r="D31" i="10"/>
  <c r="D32" i="10" s="1"/>
  <c r="C28" i="10" s="1"/>
  <c r="G9" i="9" l="1"/>
  <c r="G14" i="9" s="1"/>
  <c r="G15" i="9" s="1"/>
  <c r="F16" i="7" s="1"/>
  <c r="H9" i="9"/>
  <c r="H10" i="9" s="1"/>
  <c r="G21" i="10" s="1"/>
  <c r="J32" i="10"/>
  <c r="K9" i="9" s="1"/>
  <c r="K10" i="9" s="1"/>
  <c r="I9" i="9"/>
  <c r="I10" i="9" s="1"/>
  <c r="H21" i="10" s="1"/>
  <c r="J9" i="9"/>
  <c r="J10" i="9" s="1"/>
  <c r="I21" i="10" s="1"/>
  <c r="C27" i="10"/>
  <c r="C31" i="10"/>
  <c r="K32" i="10"/>
  <c r="C30" i="10"/>
  <c r="C29" i="10"/>
  <c r="F9" i="9"/>
  <c r="F14" i="9" s="1"/>
  <c r="F15" i="9" s="1"/>
  <c r="E16" i="7" s="1"/>
  <c r="D34" i="10"/>
  <c r="D38" i="10" s="1"/>
  <c r="E9" i="9"/>
  <c r="E14" i="9" s="1"/>
  <c r="E15" i="9" s="1"/>
  <c r="H43" i="10"/>
  <c r="I44" i="10"/>
  <c r="I43" i="10"/>
  <c r="G38" i="10"/>
  <c r="G40" i="10" s="1"/>
  <c r="F43" i="10"/>
  <c r="F44" i="10"/>
  <c r="E44" i="10"/>
  <c r="E43" i="10"/>
  <c r="M31" i="10"/>
  <c r="M32" i="10" s="1"/>
  <c r="L32" i="10"/>
  <c r="H14" i="9" l="1"/>
  <c r="H15" i="9" s="1"/>
  <c r="G22" i="10" s="1"/>
  <c r="G15" i="7"/>
  <c r="G10" i="9"/>
  <c r="F21" i="10" s="1"/>
  <c r="I15" i="7"/>
  <c r="K14" i="9"/>
  <c r="K15" i="9" s="1"/>
  <c r="J16" i="7" s="1"/>
  <c r="L9" i="9"/>
  <c r="L10" i="9" s="1"/>
  <c r="J34" i="10"/>
  <c r="J38" i="10" s="1"/>
  <c r="J40" i="10" s="1"/>
  <c r="J43" i="10" s="1"/>
  <c r="H15" i="7"/>
  <c r="I14" i="9"/>
  <c r="I15" i="9" s="1"/>
  <c r="H22" i="10" s="1"/>
  <c r="H19" i="10" s="1"/>
  <c r="H24" i="10" s="1"/>
  <c r="F22" i="10"/>
  <c r="K34" i="10"/>
  <c r="K38" i="10" s="1"/>
  <c r="K40" i="10" s="1"/>
  <c r="J14" i="9"/>
  <c r="J15" i="9" s="1"/>
  <c r="I16" i="7" s="1"/>
  <c r="F10" i="9"/>
  <c r="E15" i="7" s="1"/>
  <c r="E13" i="7" s="1"/>
  <c r="E10" i="9"/>
  <c r="D21" i="10" s="1"/>
  <c r="E22" i="10"/>
  <c r="D40" i="10"/>
  <c r="D45" i="10" s="1"/>
  <c r="D52" i="10" s="1"/>
  <c r="D53" i="10" s="1"/>
  <c r="G43" i="10"/>
  <c r="G44" i="10"/>
  <c r="F15" i="7"/>
  <c r="F13" i="7" s="1"/>
  <c r="G16" i="7"/>
  <c r="G13" i="7" s="1"/>
  <c r="G19" i="10"/>
  <c r="G24" i="10" s="1"/>
  <c r="M34" i="10"/>
  <c r="N9" i="9"/>
  <c r="J21" i="10"/>
  <c r="J15" i="7"/>
  <c r="D16" i="7"/>
  <c r="D22" i="10"/>
  <c r="L34" i="10"/>
  <c r="M9" i="9"/>
  <c r="I13" i="7" l="1"/>
  <c r="H16" i="7"/>
  <c r="F19" i="10"/>
  <c r="F24" i="10" s="1"/>
  <c r="J22" i="10"/>
  <c r="J19" i="10" s="1"/>
  <c r="J24" i="10" s="1"/>
  <c r="L14" i="9"/>
  <c r="L15" i="9" s="1"/>
  <c r="K16" i="7" s="1"/>
  <c r="J44" i="10"/>
  <c r="I22" i="10"/>
  <c r="I19" i="10" s="1"/>
  <c r="I24" i="10" s="1"/>
  <c r="H13" i="7"/>
  <c r="D15" i="7"/>
  <c r="D13" i="7" s="1"/>
  <c r="D44" i="10"/>
  <c r="E21" i="10"/>
  <c r="E19" i="10" s="1"/>
  <c r="E24" i="10" s="1"/>
  <c r="D43" i="10"/>
  <c r="K43" i="10"/>
  <c r="K44" i="10"/>
  <c r="L38" i="10"/>
  <c r="L40" i="10" s="1"/>
  <c r="M38" i="10"/>
  <c r="M40" i="10" s="1"/>
  <c r="E45" i="10"/>
  <c r="E52" i="10" s="1"/>
  <c r="E53" i="10" s="1"/>
  <c r="D19" i="10"/>
  <c r="D24" i="10" s="1"/>
  <c r="J13" i="7"/>
  <c r="K21" i="10"/>
  <c r="K15" i="7"/>
  <c r="M10" i="9"/>
  <c r="M14" i="9"/>
  <c r="M15" i="9" s="1"/>
  <c r="N14" i="9"/>
  <c r="N15" i="9" s="1"/>
  <c r="N10" i="9"/>
  <c r="K22" i="10" l="1"/>
  <c r="C48" i="10"/>
  <c r="M44" i="10"/>
  <c r="M43" i="10"/>
  <c r="L44" i="10"/>
  <c r="L43" i="10"/>
  <c r="C49" i="10"/>
  <c r="F45" i="10"/>
  <c r="F52" i="10" s="1"/>
  <c r="F53" i="10" s="1"/>
  <c r="K19" i="10"/>
  <c r="K24" i="10" s="1"/>
  <c r="M15" i="7"/>
  <c r="M21" i="10"/>
  <c r="L16" i="7"/>
  <c r="L22" i="10"/>
  <c r="K13" i="7"/>
  <c r="M16" i="7"/>
  <c r="M22" i="10"/>
  <c r="L15" i="7"/>
  <c r="L21" i="10"/>
  <c r="G45" i="10" l="1"/>
  <c r="G52" i="10" s="1"/>
  <c r="G53" i="10" s="1"/>
  <c r="L19" i="10"/>
  <c r="L24" i="10" s="1"/>
  <c r="M19" i="10"/>
  <c r="M24" i="10" s="1"/>
  <c r="M13" i="7"/>
  <c r="L13" i="7"/>
  <c r="H45" i="10" l="1"/>
  <c r="H52" i="10" s="1"/>
  <c r="H53" i="10" s="1"/>
  <c r="I45" i="10" l="1"/>
  <c r="I52" i="10" s="1"/>
  <c r="I53" i="10" s="1"/>
  <c r="J45" i="10" l="1"/>
  <c r="J52" i="10" s="1"/>
  <c r="J53" i="10" s="1"/>
  <c r="K45" i="10" l="1"/>
  <c r="K52" i="10" s="1"/>
  <c r="K53" i="10" s="1"/>
  <c r="L45" i="10" l="1"/>
  <c r="L52" i="10" s="1"/>
  <c r="L53" i="10" s="1"/>
  <c r="M45" i="10" l="1"/>
  <c r="M52" i="10" s="1"/>
  <c r="M53" i="10" s="1"/>
  <c r="C50" i="10" s="1"/>
  <c r="D12" i="18" l="1"/>
  <c r="D3" i="18" s="1"/>
  <c r="D16" i="18" l="1"/>
  <c r="D19" i="18"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Ritu Kamra</author>
  </authors>
  <commentList>
    <comment ref="C50" authorId="0" shapeId="0" xr:uid="{B8C938DB-A996-4F01-99B4-5B4C5E78987B}">
      <text>
        <r>
          <rPr>
            <b/>
            <sz val="9"/>
            <color indexed="81"/>
            <rFont val="Tahoma"/>
            <family val="2"/>
          </rPr>
          <t>Ritu Kamra:</t>
        </r>
        <r>
          <rPr>
            <sz val="9"/>
            <color indexed="81"/>
            <rFont val="Tahoma"/>
            <family val="2"/>
          </rPr>
          <t xml:space="preserve">
</t>
        </r>
      </text>
    </comment>
  </commentList>
</comments>
</file>

<file path=xl/sharedStrings.xml><?xml version="1.0" encoding="utf-8"?>
<sst xmlns="http://schemas.openxmlformats.org/spreadsheetml/2006/main" count="1544" uniqueCount="424">
  <si>
    <t xml:space="preserve">Unit Rate </t>
  </si>
  <si>
    <t>A</t>
  </si>
  <si>
    <t>B</t>
  </si>
  <si>
    <t>C</t>
  </si>
  <si>
    <t>D</t>
  </si>
  <si>
    <t xml:space="preserve">Raw Material </t>
  </si>
  <si>
    <t>Total</t>
  </si>
  <si>
    <t>Depriciation</t>
  </si>
  <si>
    <t>MAIN PROCESS EQUIPMENTS</t>
  </si>
  <si>
    <t>[USD]</t>
  </si>
  <si>
    <t>C1</t>
  </si>
  <si>
    <t>C2</t>
  </si>
  <si>
    <t>ITEM</t>
  </si>
  <si>
    <t>TOTAL FIXED-CAPITAL INVESTMENT</t>
  </si>
  <si>
    <t>A1</t>
  </si>
  <si>
    <t>TOTAL DIRECT PLANT COST</t>
  </si>
  <si>
    <t>Delivered main equipment (includes auxiliary equipment)</t>
  </si>
  <si>
    <t>A2</t>
  </si>
  <si>
    <t>TOTAL INDIRECT PLANT COST</t>
  </si>
  <si>
    <t>WORKING CAPITAL</t>
  </si>
  <si>
    <t>MANUFACTURING COST</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</si>
  <si>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t>
    </r>
  </si>
  <si>
    <t>DIRECT PRODUCTION COSTS</t>
  </si>
  <si>
    <t>1 to 8</t>
  </si>
  <si>
    <t>Raw materials (calculated)</t>
  </si>
  <si>
    <t>-</t>
  </si>
  <si>
    <t>Operating labor (calculated)</t>
  </si>
  <si>
    <t>Direct supervisory and clerical labor (17.5% of operating labor)</t>
  </si>
  <si>
    <t>Utilities (calculated)</t>
  </si>
  <si>
    <t>Operating supplies (15% of cost for maintenance and repairs)</t>
  </si>
  <si>
    <t>Laboratory charges (15% of operating labor)</t>
  </si>
  <si>
    <t>Patents and royalties (4% of C1.1 to C1.7)</t>
  </si>
  <si>
    <t>INDIRECT PRODUCTION COSTS</t>
  </si>
  <si>
    <t>C3</t>
  </si>
  <si>
    <r>
      <t xml:space="preserve">PLANT-OVERHEAD COSTS (60%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</si>
  <si>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GENERAL EXPENSES</t>
  </si>
  <si>
    <t>14 to 16</t>
  </si>
  <si>
    <r>
      <t xml:space="preserve">Administrative costs (15%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</si>
  <si>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Distribution and selling costs (11% of manufacturing cost)</t>
  </si>
  <si>
    <t>TOTAL PRODUCT COST</t>
  </si>
  <si>
    <r>
      <t xml:space="preserve">C </t>
    </r>
    <r>
      <rPr>
        <sz val="9"/>
        <color theme="1"/>
        <rFont val="Arial Black"/>
        <family val="2"/>
      </rPr>
      <t xml:space="preserve">+ </t>
    </r>
    <r>
      <rPr>
        <b/>
        <sz val="9"/>
        <color theme="1"/>
        <rFont val="Palladio Uralic"/>
      </rPr>
      <t>D</t>
    </r>
  </si>
  <si>
    <t>Description</t>
  </si>
  <si>
    <t>Construction period</t>
  </si>
  <si>
    <t>Operating Period</t>
  </si>
  <si>
    <t>Cash-In flow</t>
  </si>
  <si>
    <t>Operating Revenue</t>
  </si>
  <si>
    <t>Inventory</t>
  </si>
  <si>
    <t>Cash Outflow</t>
  </si>
  <si>
    <t>Main Investment</t>
  </si>
  <si>
    <t>Operating Cost</t>
  </si>
  <si>
    <t>Total Operating Cost</t>
  </si>
  <si>
    <t>Gross Margin</t>
  </si>
  <si>
    <t>Depreciation</t>
  </si>
  <si>
    <t>Net Cash Flow</t>
  </si>
  <si>
    <t>NPV@12%</t>
  </si>
  <si>
    <t>IRR</t>
  </si>
  <si>
    <t>Caustic Preparation Solution Tank (48% Caustic)</t>
  </si>
  <si>
    <t>Caustic transfer pump</t>
  </si>
  <si>
    <t>ECH Storage Tank</t>
  </si>
  <si>
    <t>ECH Transfer Pump</t>
  </si>
  <si>
    <t>Pre-Reactor</t>
  </si>
  <si>
    <t>Reaction solution Transfer pump</t>
  </si>
  <si>
    <t xml:space="preserve">Reactor </t>
  </si>
  <si>
    <t>Reaction solution Transfer pump 2</t>
  </si>
  <si>
    <t>Distillation Tower for ECH</t>
  </si>
  <si>
    <t>Solvent Storage Tank (Toluene)</t>
  </si>
  <si>
    <t>Solvent transfer pump</t>
  </si>
  <si>
    <t>Washing Tower</t>
  </si>
  <si>
    <t>Gravity Separator</t>
  </si>
  <si>
    <t>Soln Transfer pump</t>
  </si>
  <si>
    <t>Ditillation Tower for Toluene Recovery</t>
  </si>
  <si>
    <t>Soln Transfer pump 2</t>
  </si>
  <si>
    <t>Mixing Tank</t>
  </si>
  <si>
    <t>Product Tank</t>
  </si>
  <si>
    <t>UF/RO System</t>
  </si>
  <si>
    <t>Evaporator (Thin Evaporator &amp; Rotary film thin evaporator) </t>
  </si>
  <si>
    <t>Cooling Tower</t>
  </si>
  <si>
    <t>DG’s, Generator’s</t>
  </si>
  <si>
    <t>DCS System (Instrumentation Item)</t>
  </si>
  <si>
    <t>Equipment list for SER</t>
  </si>
  <si>
    <t>LER Storage tank</t>
  </si>
  <si>
    <t>Remarks</t>
  </si>
  <si>
    <t>Xylene Storage Tank</t>
  </si>
  <si>
    <t>2 Process pump &amp; 2 Standby</t>
  </si>
  <si>
    <t>Feed Pump</t>
  </si>
  <si>
    <t>150m3, SS304</t>
  </si>
  <si>
    <t>Weighing Tank</t>
  </si>
  <si>
    <t>Hoist</t>
  </si>
  <si>
    <t>BPA Hopper</t>
  </si>
  <si>
    <t>Resin Hopper</t>
  </si>
  <si>
    <t>Raw material Hopper</t>
  </si>
  <si>
    <t>BPA Dust Collector</t>
  </si>
  <si>
    <t>Resin hopper</t>
  </si>
  <si>
    <t>Dust Collector</t>
  </si>
  <si>
    <t>Cut Tank</t>
  </si>
  <si>
    <t>Product filter</t>
  </si>
  <si>
    <t>Circle Feeder</t>
  </si>
  <si>
    <t>Crusher</t>
  </si>
  <si>
    <t>Product Dust Collector</t>
  </si>
  <si>
    <t>Product Filter</t>
  </si>
  <si>
    <t>7m2, SS304</t>
  </si>
  <si>
    <t>3-4 Ton/hr, SS304</t>
  </si>
  <si>
    <t>0.2m3, SS304</t>
  </si>
  <si>
    <t>Flaker hopper</t>
  </si>
  <si>
    <t>4,000kg/hr, SS 304</t>
  </si>
  <si>
    <t>4500kg/hr, SS304</t>
  </si>
  <si>
    <t>400 KV</t>
  </si>
  <si>
    <t>Research and development costs (7% of manufacturing cost)</t>
  </si>
  <si>
    <t>Interest on Short term loan (If any)</t>
  </si>
  <si>
    <t>Maintenance and repairs (7% of fixed-capital investment)</t>
  </si>
  <si>
    <t>All Amount in USD</t>
  </si>
  <si>
    <t>Variable</t>
  </si>
  <si>
    <t>Fixed</t>
  </si>
  <si>
    <t>Rate Of Return</t>
  </si>
  <si>
    <t>ETP Plant</t>
  </si>
  <si>
    <t>800 KD</t>
  </si>
  <si>
    <t>Investment</t>
  </si>
  <si>
    <t>Total Investment</t>
  </si>
  <si>
    <t>Total Cash - Inflow (2+3)</t>
  </si>
  <si>
    <t>Raw Material Cost</t>
  </si>
  <si>
    <t>Labour</t>
  </si>
  <si>
    <t>Raw Material Variable</t>
  </si>
  <si>
    <t>INR</t>
  </si>
  <si>
    <t>Annual Variable Cost (Utility, packaging &amp; selling, Distribution cost)</t>
  </si>
  <si>
    <t>Labour Cost (Operating &amp; Supervisionary labour)</t>
  </si>
  <si>
    <t>Annual Fixed Cost ()</t>
  </si>
  <si>
    <t>Packaging Cost(5% of manufacturing cost)</t>
  </si>
  <si>
    <t>Taxes (%)</t>
  </si>
  <si>
    <t>Category</t>
  </si>
  <si>
    <t>Present Value Factor</t>
  </si>
  <si>
    <t xml:space="preserve">Cumulative Cash Flows </t>
  </si>
  <si>
    <t xml:space="preserve">Pay Back Period </t>
  </si>
  <si>
    <t>Present values</t>
  </si>
  <si>
    <t>Accounts Receivable</t>
  </si>
  <si>
    <t>DSO</t>
  </si>
  <si>
    <t>Days</t>
  </si>
  <si>
    <t>Change in sales/ mth.</t>
  </si>
  <si>
    <t>Change in AR</t>
  </si>
  <si>
    <t>Inventory (Impact of COGS change)</t>
  </si>
  <si>
    <t>DIO (Days Inventory)</t>
  </si>
  <si>
    <t>Change in COGS/ mth.</t>
  </si>
  <si>
    <t>Change in Inv.</t>
  </si>
  <si>
    <t>Accounts Payable</t>
  </si>
  <si>
    <t>DPO</t>
  </si>
  <si>
    <t>Change in payables/ mth.</t>
  </si>
  <si>
    <t>60% of 42 KTA</t>
  </si>
  <si>
    <t>80% of 42 KTA</t>
  </si>
  <si>
    <t>95% of 42 KTA</t>
  </si>
  <si>
    <t>70% of 84 KTA</t>
  </si>
  <si>
    <t>80% of 84 KTA</t>
  </si>
  <si>
    <t>90% of 84 KTA</t>
  </si>
  <si>
    <t>- Qty.</t>
  </si>
  <si>
    <t>-Rate</t>
  </si>
  <si>
    <t>Working Capital Change:</t>
  </si>
  <si>
    <t>Accounts Receivables</t>
  </si>
  <si>
    <t>Accounts Payables</t>
  </si>
  <si>
    <t>95%84 KT</t>
  </si>
  <si>
    <t>Gross Profit</t>
  </si>
  <si>
    <t>Operating Cost :</t>
  </si>
  <si>
    <t xml:space="preserve">Labour </t>
  </si>
  <si>
    <t>Variable Overheads</t>
  </si>
  <si>
    <t>Fixed Overheads</t>
  </si>
  <si>
    <t>Selling Overheads</t>
  </si>
  <si>
    <t>Taxes</t>
  </si>
  <si>
    <t>Discounted Cash Flow</t>
  </si>
  <si>
    <t>Undiscounted Cash Flow</t>
  </si>
  <si>
    <t>Cummulative Cash Flow</t>
  </si>
  <si>
    <t>NPV</t>
  </si>
  <si>
    <t>Payback Period</t>
  </si>
  <si>
    <t xml:space="preserve">Raw materials </t>
  </si>
  <si>
    <t>C4</t>
  </si>
  <si>
    <t>Total  Production Cost</t>
  </si>
  <si>
    <t>CAPACITY &amp; MOC</t>
  </si>
  <si>
    <t>Qty</t>
  </si>
  <si>
    <t>m3, SS304</t>
  </si>
  <si>
    <t>m3,PP</t>
  </si>
  <si>
    <t>m3/hr,PP</t>
  </si>
  <si>
    <t>m3/hr, SS304</t>
  </si>
  <si>
    <t xml:space="preserve">For more no of grade, Reactor will be increased accordingly </t>
  </si>
  <si>
    <t>-Rate (LER)</t>
  </si>
  <si>
    <t xml:space="preserve">Utilities (calculated) </t>
  </si>
  <si>
    <t>Catalyst &amp; Chemicals</t>
  </si>
  <si>
    <t>Research and development costs (2% of manufacturing cost)</t>
  </si>
  <si>
    <t>Packaging Cost (calculated)</t>
  </si>
  <si>
    <t>Salaries &amp; Wages (calculated)</t>
  </si>
  <si>
    <t>Distribution and selling costs (10% of manufacturing cost)</t>
  </si>
  <si>
    <t>Maintenance and repairs (2.5% of fixed-capital investment)</t>
  </si>
  <si>
    <t>Tohto Kesai</t>
  </si>
  <si>
    <t>CIBA</t>
  </si>
  <si>
    <t>[USD Million]</t>
  </si>
  <si>
    <t>Indigenous</t>
  </si>
  <si>
    <t> 1 Standby &amp; 1 working</t>
  </si>
  <si>
    <t>BPA Hopper (if Solid)</t>
  </si>
  <si>
    <t>BPA  Hopper (if Solid)</t>
  </si>
  <si>
    <t>Auxiliary</t>
  </si>
  <si>
    <t xml:space="preserve">Pre-Reactor </t>
  </si>
  <si>
    <t>Not Required</t>
  </si>
  <si>
    <t>1 Standby &amp; 1 working</t>
  </si>
  <si>
    <t xml:space="preserve"> Filter</t>
  </si>
  <si>
    <t>m2, SS304</t>
  </si>
  <si>
    <t>375m3, SS304</t>
  </si>
  <si>
    <t>110m3, SS304</t>
  </si>
  <si>
    <t>Condenser</t>
  </si>
  <si>
    <t>18m3/hr, SS304</t>
  </si>
  <si>
    <t>14m3, SS304</t>
  </si>
  <si>
    <t>08-12m3, SS304</t>
  </si>
  <si>
    <t>15 m3, SS304/CS</t>
  </si>
  <si>
    <t>1.2m3, SS304</t>
  </si>
  <si>
    <t>7.5m2, SS304</t>
  </si>
  <si>
    <t>15m3, SS304</t>
  </si>
  <si>
    <t>25m3, CS</t>
  </si>
  <si>
    <t>16m3, SS304</t>
  </si>
  <si>
    <t>17m3, SS304</t>
  </si>
  <si>
    <t>25m2, SS304</t>
  </si>
  <si>
    <t>15m3/hr, SS304</t>
  </si>
  <si>
    <t>7.5 ton/hr, SS 304</t>
  </si>
  <si>
    <t xml:space="preserve">Packer </t>
  </si>
  <si>
    <t>Packer</t>
  </si>
  <si>
    <t>40m3/hr, SS314</t>
  </si>
  <si>
    <t>Vent Condenser</t>
  </si>
  <si>
    <t>6m2, SS304</t>
  </si>
  <si>
    <t>TOTAL CAPITAL INVESTMENT (A+B)</t>
  </si>
  <si>
    <t>1.1.</t>
  </si>
  <si>
    <t>Assumptions and Findings</t>
  </si>
  <si>
    <r>
      <t>2.</t>
    </r>
    <r>
      <rPr>
        <sz val="7"/>
        <color theme="1"/>
        <rFont val="Times New Roman"/>
        <family val="1"/>
      </rPr>
      <t xml:space="preserve">     </t>
    </r>
    <r>
      <rPr>
        <sz val="10"/>
        <color theme="1"/>
        <rFont val="Arial"/>
        <family val="2"/>
      </rPr>
      <t>Catalyst &amp; Chemical cost is higher in Tohto Kesai.</t>
    </r>
  </si>
  <si>
    <t>*Amortization will be presumed to be in next 10 years on equal basis.</t>
  </si>
  <si>
    <t xml:space="preserve">Capacity </t>
  </si>
  <si>
    <t>* Operating Revenue will be  bifurcated between :-</t>
  </si>
  <si>
    <t>Total Capacity</t>
  </si>
  <si>
    <t>* Capacity will be Installed in two phases:-</t>
  </si>
  <si>
    <t>*Accounts Receivables will be taken as of 60 Days.</t>
  </si>
  <si>
    <t>*Accounts Payables will be taken as of 60 Days.</t>
  </si>
  <si>
    <t>-Rate (SER - Solid)</t>
  </si>
  <si>
    <t>-Rate (Semi Solid)</t>
  </si>
  <si>
    <t>Cost of Capital (10%)</t>
  </si>
  <si>
    <t xml:space="preserve">                           Licensed   Capacity 840000 Tonnes</t>
  </si>
  <si>
    <t>LER</t>
  </si>
  <si>
    <t>Solid Epoxy Resin</t>
  </si>
  <si>
    <t>Semi Solid and Specialized Epoxy Resin</t>
  </si>
  <si>
    <t>ITEM (Solid Epoxy Resin)</t>
  </si>
  <si>
    <t>MEE/MVR</t>
  </si>
  <si>
    <t>ITEM (Liquid Epoxy Resin)</t>
  </si>
  <si>
    <t>ITEM (Specialized Epoxy Resin</t>
  </si>
  <si>
    <t>D4+D7+D9+D12</t>
  </si>
  <si>
    <t>D3+D16</t>
  </si>
  <si>
    <t>D3 + D16</t>
  </si>
  <si>
    <t>- Qty (LER)</t>
  </si>
  <si>
    <t>- Qty (Solid)</t>
  </si>
  <si>
    <t>- Qty. (Semi - Solid)</t>
  </si>
  <si>
    <t>- Qty. (Specialized)</t>
  </si>
  <si>
    <t>-Rate (Specialized)</t>
  </si>
  <si>
    <t xml:space="preserve"> (25 Kg, 100 Kg, 200Kg, 500 Kg /bag,), SS 304</t>
  </si>
  <si>
    <t xml:space="preserve"> (25 Kg, 100 Kg, 200Kg, 500 Kg /bag,) SS 304</t>
  </si>
  <si>
    <t>Warehouse</t>
  </si>
  <si>
    <t>1.8 Acre</t>
  </si>
  <si>
    <t>Final Total (1.1+1.2+ 1.3+1.4)</t>
  </si>
  <si>
    <t>CIBA Technology</t>
  </si>
  <si>
    <t>Cost Estimation</t>
  </si>
  <si>
    <t>No of Emplyees</t>
  </si>
  <si>
    <t>Top Level</t>
  </si>
  <si>
    <t>Senior level Management</t>
  </si>
  <si>
    <t>Mid Level Management</t>
  </si>
  <si>
    <t>Initial level</t>
  </si>
  <si>
    <t xml:space="preserve">Blue collar </t>
  </si>
  <si>
    <t>Contracutal, Skilled &amp; Unskilled Worker</t>
  </si>
  <si>
    <t>Total Salary &amp; Wages (Lakh)</t>
  </si>
  <si>
    <t>Total Salary &amp; Wages (USD Million)</t>
  </si>
  <si>
    <t>Please refer salary and wages estimation</t>
  </si>
  <si>
    <t>ITEM (Semi Solid)</t>
  </si>
  <si>
    <t>Packaging Cost</t>
  </si>
  <si>
    <t>Calculated =USD 4.8 million</t>
  </si>
  <si>
    <t xml:space="preserve">Plant Overhead Costs </t>
  </si>
  <si>
    <t xml:space="preserve">Maintenance and repairs </t>
  </si>
  <si>
    <t xml:space="preserve">Administrative costs </t>
  </si>
  <si>
    <t>Distribution and selling costs</t>
  </si>
  <si>
    <t xml:space="preserve">Research and development costs </t>
  </si>
  <si>
    <r>
      <t xml:space="preserve">Plant Overhead Costs (45% of </t>
    </r>
    <r>
      <rPr>
        <sz val="9"/>
        <rFont val="Arial Black"/>
        <family val="2"/>
      </rPr>
      <t xml:space="preserve"> </t>
    </r>
    <r>
      <rPr>
        <sz val="9"/>
        <rFont val="Palladio Uralic"/>
      </rPr>
      <t>3 + 6)</t>
    </r>
  </si>
  <si>
    <t>Administrative costs (10% of 3 + 6)</t>
  </si>
  <si>
    <t>Total  Production Cost (USD Per Tonne)</t>
  </si>
  <si>
    <t>PARAMETERS</t>
  </si>
  <si>
    <t>COST OF PRODUCTION: Solid Epoxy Resin (LER Captive)</t>
  </si>
  <si>
    <t>Quantity</t>
  </si>
  <si>
    <t>Amount</t>
  </si>
  <si>
    <t>Tonne</t>
  </si>
  <si>
    <t>USD/Tonne</t>
  </si>
  <si>
    <t>USD</t>
  </si>
  <si>
    <t>VARIABLE COST</t>
  </si>
  <si>
    <t xml:space="preserve">Raw Materials </t>
  </si>
  <si>
    <t>Liquid Epoxy Resin</t>
  </si>
  <si>
    <t>BisPhenol A</t>
  </si>
  <si>
    <t>Caustic Soda</t>
  </si>
  <si>
    <t>Sub-Total (1)</t>
  </si>
  <si>
    <r>
      <t>Utility</t>
    </r>
    <r>
      <rPr>
        <sz val="8"/>
        <color rgb="FF000000"/>
        <rFont val="Calibri"/>
        <family val="2"/>
        <scheme val="minor"/>
      </rPr>
      <t>  </t>
    </r>
  </si>
  <si>
    <r>
      <t>Catalyst &amp; Solvent</t>
    </r>
    <r>
      <rPr>
        <sz val="8"/>
        <color rgb="FF000000"/>
        <rFont val="Calibri"/>
        <family val="2"/>
        <scheme val="minor"/>
      </rPr>
      <t>  </t>
    </r>
  </si>
  <si>
    <t>Labor</t>
  </si>
  <si>
    <t>Miscellaneous (R &amp; D and Selling &amp; Transportation, packaging)</t>
  </si>
  <si>
    <t>TOTAL VARIABLE COST</t>
  </si>
  <si>
    <t>FIXED COST</t>
  </si>
  <si>
    <t>Plant-Overhead Costs</t>
  </si>
  <si>
    <t>Total Fixed Cost</t>
  </si>
  <si>
    <r>
      <t>Catalyst &amp; Solvent</t>
    </r>
    <r>
      <rPr>
        <sz val="8"/>
        <rFont val="Calibri"/>
        <family val="2"/>
        <scheme val="minor"/>
      </rPr>
      <t>  </t>
    </r>
  </si>
  <si>
    <r>
      <t>Utility</t>
    </r>
    <r>
      <rPr>
        <sz val="8"/>
        <rFont val="Calibri"/>
        <family val="2"/>
        <scheme val="minor"/>
      </rPr>
      <t>  </t>
    </r>
  </si>
  <si>
    <t>Epichlorohydrin</t>
  </si>
  <si>
    <t>Bisphenol A</t>
  </si>
  <si>
    <t>Year</t>
  </si>
  <si>
    <t>Month</t>
  </si>
  <si>
    <t>January</t>
  </si>
  <si>
    <t>February</t>
  </si>
  <si>
    <t>March</t>
  </si>
  <si>
    <t>April</t>
  </si>
  <si>
    <t>May</t>
  </si>
  <si>
    <t>June</t>
  </si>
  <si>
    <t>July</t>
  </si>
  <si>
    <t>August</t>
  </si>
  <si>
    <t>September</t>
  </si>
  <si>
    <t>October</t>
  </si>
  <si>
    <t>November</t>
  </si>
  <si>
    <t>December</t>
  </si>
  <si>
    <t>Bisphenol A CFR JNPT</t>
  </si>
  <si>
    <t>Epichlorohydrin CFR JNPT</t>
  </si>
  <si>
    <t>Caustic Soda Lye Ex-JNPT</t>
  </si>
  <si>
    <t>Prices in USD/Tonne</t>
  </si>
  <si>
    <t>Specialized Epoxy Resin Opex (100% Basis - 14000 TPA Capacity)</t>
  </si>
  <si>
    <t>Semi Solid Opex (100% Basis - 6000 TPA Capacity)</t>
  </si>
  <si>
    <t>Solid Epoxy Resin Opex (100% Basis -20000 TPA Capacity)</t>
  </si>
  <si>
    <t>Liquid Epoxy Resin Opex (100% Basis -44000 TPA Capacity)</t>
  </si>
  <si>
    <t>Product Name</t>
  </si>
  <si>
    <t>Country</t>
  </si>
  <si>
    <t>Epoxy Resin Liquid FOB North East Asia</t>
  </si>
  <si>
    <t>China</t>
  </si>
  <si>
    <t>Epoxy Resin Solid FOB North East Asia</t>
  </si>
  <si>
    <t>Epoxy Resin Semi Solid FOB North East Asia</t>
  </si>
  <si>
    <t>Purchased-equipment installation (32% of Delivered main equipment (includes auxiliary equipment))</t>
  </si>
  <si>
    <t>Instrumentation and controls (installed) (21% of Delivered main equipment (includes auxiliary equipment))</t>
  </si>
  <si>
    <t>Piping (installed) (26% of Delivered main equipment (includes auxiliary equipment))</t>
  </si>
  <si>
    <t>Electrical (installed) (8% of Delivered main equipment (includes auxiliary equipment))</t>
  </si>
  <si>
    <t>Service facilities (installed) (45% of Delivered main equipment (includes auxiliary equipment))</t>
  </si>
  <si>
    <t>Engineering and supervision (26% of Delivered main equipment (includes auxiliary equipment))</t>
  </si>
  <si>
    <t>Construction expenses (28% of  Delivered main equipment (includes auxiliary equipment))</t>
  </si>
  <si>
    <t>Legal expenses (3% of  Delivered main equipment (includes auxiliary equipment))</t>
  </si>
  <si>
    <t>Contractor’s fee (16% of  Delivered main equipment (includes auxiliary equipment))</t>
  </si>
  <si>
    <t>Contingency (Derived)</t>
  </si>
  <si>
    <t>Q4 FY2022</t>
  </si>
  <si>
    <t>Q4 FY2023</t>
  </si>
  <si>
    <t>Q1 FY2023</t>
  </si>
  <si>
    <t>Q2 FY2023</t>
  </si>
  <si>
    <t>Q3 FY2023</t>
  </si>
  <si>
    <t>COST OF PRODUCTION</t>
  </si>
  <si>
    <t xml:space="preserve">Buildings (including services) </t>
  </si>
  <si>
    <t>Others (15% of delivered main equipment)</t>
  </si>
  <si>
    <t>Per Tonne Cost ranges from USD 95-100</t>
  </si>
  <si>
    <t>Per Tonne Cost ranges from USD 97-102</t>
  </si>
  <si>
    <t xml:space="preserve">Total </t>
  </si>
  <si>
    <t>Annual Salary in Lakhs</t>
  </si>
  <si>
    <t>Price (USD / Tonne)</t>
  </si>
  <si>
    <t>Total Production Cost (USD / Tonne)</t>
  </si>
  <si>
    <t xml:space="preserve">USD </t>
  </si>
  <si>
    <t>COST OF PRODUCTION: Specialized Epoxy Resin</t>
  </si>
  <si>
    <t>Raw Materials*</t>
  </si>
  <si>
    <t>* Derived as grades have different mass balance as per product specifications</t>
  </si>
  <si>
    <t>Yearly</t>
  </si>
  <si>
    <t>Liquid Epoxy Resin Ex-Mumbai EEW 185</t>
  </si>
  <si>
    <t>Solid epoxy Epoxy Resin EEW 860 Ex-Mumbai</t>
  </si>
  <si>
    <t>Semi-Solid Epoxy Resin EEW 335 Ex-Mumbai</t>
  </si>
  <si>
    <t>FY2016</t>
  </si>
  <si>
    <t>FY2017</t>
  </si>
  <si>
    <t>FY2018</t>
  </si>
  <si>
    <t>FY2019</t>
  </si>
  <si>
    <t>FY2020</t>
  </si>
  <si>
    <t>FY2021</t>
  </si>
  <si>
    <t>FY2022</t>
  </si>
  <si>
    <t>FY2023</t>
  </si>
  <si>
    <t>FY2024</t>
  </si>
  <si>
    <t>FY2025</t>
  </si>
  <si>
    <t>FY2026</t>
  </si>
  <si>
    <t>FY2027</t>
  </si>
  <si>
    <t>FY2028</t>
  </si>
  <si>
    <t>FY2029</t>
  </si>
  <si>
    <t>FY2030</t>
  </si>
  <si>
    <t>Liquid Epoxy Resin EEW 185 FOB Seoul</t>
  </si>
  <si>
    <t>Solid epoxy Epoxy Resin EEW 860 FOB Seoul</t>
  </si>
  <si>
    <t>Semi-Solid Epoxy Resin EEW 335 FOB Seoul</t>
  </si>
  <si>
    <t>Liquid Epoxy Resin EEW 185 FOB Hamburg</t>
  </si>
  <si>
    <t>Solid epoxy Epoxy Resin EEW 860 FOB Hamburg</t>
  </si>
  <si>
    <t>Semi-Solid Epoxy Resin EEW 335 FOB Hamburg</t>
  </si>
  <si>
    <t>Liquid Epoxy Resin EEW 185 FOB Texas</t>
  </si>
  <si>
    <t>Solid epoxy Epoxy Resin EEW 860 FOB Texas</t>
  </si>
  <si>
    <t>Semi-Solid Epoxy Resin EEW 335 FOB Texas</t>
  </si>
  <si>
    <t xml:space="preserve">Year </t>
  </si>
  <si>
    <t xml:space="preserve">Liquid Epoxy Resin </t>
  </si>
  <si>
    <t>Semi- Solid Epoxy Resin</t>
  </si>
  <si>
    <t>Caustic Soda / Imdiazole</t>
  </si>
  <si>
    <t xml:space="preserve">In the production of liquid epoxy resin, catalyst NaOH may be replaced with imidazoles as catalyst because it is too harsh for the reaction and may hampers the rate of the reaction. 
</t>
  </si>
  <si>
    <t>In the production of solid epoxy resin from liquid epoxy resin only bisphenol-A is used , catalyst NaOH is not used as catalyst.</t>
  </si>
  <si>
    <t>In the production of solid epoxy resin from liquid epoxy resin only bisphenol-A is used , catalyst NaOH is not rquired as catalyst.</t>
  </si>
  <si>
    <r>
      <t>3.</t>
    </r>
    <r>
      <rPr>
        <sz val="7"/>
        <color theme="1"/>
        <rFont val="Times New Roman"/>
        <family val="1"/>
      </rPr>
      <t xml:space="preserve">     </t>
    </r>
    <r>
      <rPr>
        <sz val="10"/>
        <color theme="1"/>
        <rFont val="Arial"/>
        <family val="2"/>
      </rPr>
      <t xml:space="preserve">Prices of raw material and catalyst are based on monthly average during the period April 2016 -March 2022. </t>
    </r>
  </si>
  <si>
    <r>
      <t>1.</t>
    </r>
    <r>
      <rPr>
        <sz val="7"/>
        <color theme="1"/>
        <rFont val="Times New Roman"/>
        <family val="1"/>
      </rPr>
      <t xml:space="preserve">     </t>
    </r>
    <r>
      <rPr>
        <sz val="10"/>
        <color theme="1"/>
        <rFont val="Arial"/>
        <family val="2"/>
      </rPr>
      <t>Solvent recovery in CIBA Technology is better than that of Tohto Kesai.</t>
    </r>
  </si>
  <si>
    <r>
      <t>4.</t>
    </r>
    <r>
      <rPr>
        <sz val="7"/>
        <color theme="1"/>
        <rFont val="Times New Roman"/>
        <family val="1"/>
      </rPr>
      <t xml:space="preserve">     </t>
    </r>
    <r>
      <rPr>
        <sz val="10"/>
        <color theme="1"/>
        <rFont val="Arial"/>
        <family val="2"/>
      </rPr>
      <t>The cost of power used by the plant is considered as INR 5.50 per kWh. Further, the companies interviewed were grid connected for their power requirements. Tariff of electricity was derived from public documents of manufacturers and power distribution companies.</t>
    </r>
  </si>
  <si>
    <r>
      <t>5.</t>
    </r>
    <r>
      <rPr>
        <sz val="7"/>
        <color theme="1"/>
        <rFont val="Times New Roman"/>
        <family val="1"/>
      </rPr>
      <t xml:space="preserve">     </t>
    </r>
    <r>
      <rPr>
        <sz val="10"/>
        <color theme="1"/>
        <rFont val="Arial"/>
        <family val="2"/>
      </rPr>
      <t>Other utilities mainly include raw water, and its cost has been taken as INR1.25 per m3</t>
    </r>
  </si>
  <si>
    <t>1st year raw material prices are considered as weighted average of CFR JNPT price during April 2016 to March 2022</t>
  </si>
  <si>
    <t>50% of the total capacity will be installed initially in the first year , the remaining capacity will be installed in the fifth year .</t>
  </si>
  <si>
    <t>*Inventory will be taken as of 30 Days.</t>
  </si>
  <si>
    <t>* Cost of Capital will be assumed as 10% of Net Cash flow.</t>
  </si>
  <si>
    <t xml:space="preserve">*Tax rate will be assumed  as 30% of the difference between gross margin and depreciation. </t>
  </si>
  <si>
    <r>
      <t>6.</t>
    </r>
    <r>
      <rPr>
        <sz val="7"/>
        <color theme="1"/>
        <rFont val="Times New Roman"/>
        <family val="1"/>
      </rPr>
      <t xml:space="preserve">     </t>
    </r>
    <r>
      <rPr>
        <sz val="10"/>
        <color theme="1"/>
        <rFont val="Arial"/>
        <family val="2"/>
      </rPr>
      <t xml:space="preserve">Per kg costs for the fixed items are calculated based on primary research. Further, repair and maintenance cost is 2.5% of the plant &amp; machinery cost. Interest on working capital is around 10% and depreciation has been calculated based on 10 years. </t>
    </r>
  </si>
  <si>
    <t>FY 2016</t>
  </si>
  <si>
    <t>FY 2017</t>
  </si>
  <si>
    <t>FY 2018</t>
  </si>
  <si>
    <t>FY 2019</t>
  </si>
  <si>
    <t>FY 2020</t>
  </si>
  <si>
    <t>FY 2021</t>
  </si>
  <si>
    <t>FY 2022</t>
  </si>
  <si>
    <t>FY 2023E</t>
  </si>
  <si>
    <t>FY 2025F</t>
  </si>
  <si>
    <t>FY 2030F</t>
  </si>
  <si>
    <t>India</t>
  </si>
  <si>
    <t>Capacity (Thousand Tonnes)</t>
  </si>
  <si>
    <t>Production(Thousand Tonnes)</t>
  </si>
  <si>
    <t>Import (Thousand Tonnes)</t>
  </si>
  <si>
    <t>Export (Thousand Tonnes)</t>
  </si>
  <si>
    <t>Domestic Consumption(Thousand Tonnes) Realistic</t>
  </si>
  <si>
    <t>Epoxy Resins Demand (Y-O-Y, %)</t>
  </si>
  <si>
    <t>Epoxy Resins Demand-Supply Gap (Thousand Tonnes)</t>
  </si>
  <si>
    <t xml:space="preserve">Inventory (Thousand Tonnes)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</si>
</sst>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 #,##0.00_ ;_ * \-#,##0.00_ ;_ * &quot;-&quot;??_ ;_ @_ "/>
    <numFmt numFmtId="164" formatCode="_(* #,##0.00_);_(* \(#,##0.00\);_(* &quot;-&quot;??_);_(@_)"/>
    <numFmt numFmtId="165" formatCode="0.0"/>
    <numFmt numFmtId="166" formatCode="_ * #,##0_ ;_ * \-#,##0_ ;_ * &quot;-&quot;??_ ;_ @_ "/>
    <numFmt numFmtId="167" formatCode="_(* #,##0_);_(* \(#,##0\);_(* &quot;-&quot;??_);_(@_)"/>
    <numFmt numFmtId="168" formatCode="#,##0.000"/>
    <numFmt numFmtId="169" formatCode="0.000"/>
    <numFmt numFmtId="170" formatCode="0.000%"/>
    <numFmt numFmtId="171" formatCode="0.0%"/>
  </numFmts>
  <fonts count="47">
    <font>
      <sz val="11"/>
      <color theme="1"/>
      <name val="Calibri"/>
      <family val="2"/>
      <scheme val="minor"/>
    </font>
    <font>
      <sz val="11"/>
      <color theme="1"/>
      <name val="Calibri"/>
      <family val="2"/>
      <scheme val="minor"/>
    </font>
    <font>
      <b/>
      <sz val="11"/>
      <color theme="1"/>
      <name val="Calibri"/>
      <family val="2"/>
      <scheme val="minor"/>
    </font>
    <font>
      <sz val="11"/>
      <color theme="1"/>
      <name val="Palladio Uralic"/>
    </font>
    <font>
      <sz val="9"/>
      <color theme="1"/>
      <name val="Times New Roman"/>
      <family val="1"/>
    </font>
    <font>
      <b/>
      <sz val="9"/>
      <color theme="1"/>
      <name val="Palladio Uralic"/>
    </font>
    <font>
      <sz val="9"/>
      <color theme="1"/>
      <name val="Arial Black"/>
      <family val="2"/>
    </font>
    <font>
      <sz val="9"/>
      <color theme="1"/>
      <name val="Palladio Uralic"/>
    </font>
    <font>
      <sz val="10"/>
      <color theme="1"/>
      <name val="Palladio Uralic"/>
    </font>
    <font>
      <u/>
      <sz val="11"/>
      <color theme="10"/>
      <name val="Calibri"/>
      <family val="2"/>
      <scheme val="minor"/>
    </font>
    <font>
      <sz val="8"/>
      <color rgb="FF000000"/>
      <name val="Calibri"/>
      <family val="2"/>
    </font>
    <font>
      <b/>
      <sz val="8"/>
      <color rgb="FF000000"/>
      <name val="Times New Roman"/>
      <family val="1"/>
    </font>
    <font>
      <sz val="11"/>
      <color rgb="FF000000"/>
      <name val="Calibri"/>
      <family val="2"/>
      <scheme val="minor"/>
    </font>
    <font>
      <b/>
      <sz val="11"/>
      <color rgb="FF000000"/>
      <name val="Calibri"/>
      <family val="2"/>
      <scheme val="minor"/>
    </font>
    <font>
      <sz val="9"/>
      <color indexed="81"/>
      <name val="Tahoma"/>
      <family val="2"/>
    </font>
    <font>
      <b/>
      <sz val="9"/>
      <color indexed="81"/>
      <name val="Tahoma"/>
      <family val="2"/>
    </font>
    <font>
      <b/>
      <sz val="11"/>
      <color theme="0"/>
      <name val="Calibri"/>
      <family val="2"/>
      <scheme val="minor"/>
    </font>
    <font>
      <sz val="11"/>
      <color theme="0"/>
      <name val="Calibri"/>
      <family val="2"/>
      <scheme val="minor"/>
    </font>
    <font>
      <b/>
      <sz val="10"/>
      <name val="Arial"/>
      <family val="2"/>
    </font>
    <font>
      <sz val="10"/>
      <name val="Arial"/>
      <family val="2"/>
    </font>
    <font>
      <b/>
      <sz val="11"/>
      <name val="Calibri"/>
      <family val="2"/>
      <scheme val="minor"/>
    </font>
    <font>
      <b/>
      <i/>
      <sz val="11"/>
      <color rgb="FF000000"/>
      <name val="Calibri"/>
      <family val="2"/>
      <scheme val="minor"/>
    </font>
    <font>
      <b/>
      <sz val="9"/>
      <color rgb="FFFF0000"/>
      <name val="Palladio Uralic"/>
    </font>
    <font>
      <sz val="9"/>
      <color rgb="FFFF0000"/>
      <name val="Palladio Uralic"/>
    </font>
    <font>
      <b/>
      <sz val="12"/>
      <color theme="1"/>
      <name val="Arial"/>
      <family val="2"/>
    </font>
    <font>
      <sz val="9"/>
      <name val="Palladio Uralic"/>
    </font>
    <font>
      <sz val="9"/>
      <name val="Arial Black"/>
      <family val="2"/>
    </font>
    <font>
      <b/>
      <sz val="9"/>
      <name val="Palladio Uralic"/>
    </font>
    <font>
      <b/>
      <i/>
      <u/>
      <sz val="11"/>
      <color theme="1"/>
      <name val="Arial"/>
      <family val="2"/>
    </font>
    <font>
      <sz val="10"/>
      <color theme="1"/>
      <name val="Arial"/>
      <family val="2"/>
    </font>
    <font>
      <sz val="7"/>
      <color theme="1"/>
      <name val="Times New Roman"/>
      <family val="1"/>
    </font>
    <font>
      <sz val="10"/>
      <color theme="0"/>
      <name val="Arial"/>
      <family val="2"/>
    </font>
    <font>
      <b/>
      <sz val="10"/>
      <color rgb="FF000000"/>
      <name val="Arial"/>
      <family val="2"/>
    </font>
    <font>
      <sz val="10"/>
      <color rgb="FF000000"/>
      <name val="Arial"/>
      <family val="2"/>
    </font>
    <font>
      <sz val="8"/>
      <color rgb="FF000000"/>
      <name val="Calibri"/>
      <family val="2"/>
      <scheme val="minor"/>
    </font>
    <font>
      <sz val="11"/>
      <name val="Calibri"/>
      <family val="2"/>
      <scheme val="minor"/>
    </font>
    <font>
      <sz val="8"/>
      <name val="Calibri"/>
      <family val="2"/>
      <scheme val="minor"/>
    </font>
    <font>
      <sz val="9"/>
      <name val="Calibri"/>
      <family val="2"/>
      <scheme val="minor"/>
    </font>
    <font>
      <sz val="9"/>
      <name val="Times New Roman"/>
      <family val="1"/>
    </font>
    <font>
      <sz val="10"/>
      <color theme="1"/>
      <name val="Times New Roman"/>
      <family val="1"/>
    </font>
    <font>
      <sz val="10"/>
      <name val="Times New Roman"/>
      <family val="1"/>
    </font>
    <font>
      <sz val="10"/>
      <color theme="1"/>
      <name val="Calibri Light"/>
      <family val="2"/>
      <scheme val="major"/>
    </font>
    <font>
      <sz val="10"/>
      <name val="Calibri Light"/>
      <family val="2"/>
      <scheme val="major"/>
    </font>
    <font>
      <b/>
      <sz val="10"/>
      <color theme="1"/>
      <name val="Calibri Light"/>
      <family val="2"/>
      <scheme val="major"/>
    </font>
    <font>
      <b/>
      <sz val="10"/>
      <name val="Calibri Light"/>
      <family val="2"/>
      <scheme val="major"/>
    </font>
    <font>
      <sz val="12"/>
      <color theme="1"/>
      <name val="Calibri"/>
      <family val="2"/>
      <scheme val="minor"/>
    </font>
    <font>
      <b/>
      <sz val="15"/>
      <color indexed="56"/>
      <name val="Calibri"/>
      <family val="2"/>
    </font>
  </fonts>
  <fills count="34">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patternFill>
    </fill>
    <fill>
      <patternFill patternType="solid">
        <fgColor theme="7" tint="-0.499984740745262"/>
        <bgColor indexed="64"/>
      </patternFill>
    </fill>
    <fill>
      <patternFill patternType="solid">
        <fgColor theme="5" tint="-0.499984740745262"/>
        <bgColor indexed="64"/>
      </patternFill>
    </fill>
    <fill>
      <patternFill patternType="solid">
        <fgColor rgb="FFFFC000"/>
        <bgColor indexed="64"/>
      </patternFill>
    </fill>
    <fill>
      <patternFill patternType="solid">
        <fgColor indexed="9"/>
        <bgColor indexed="64"/>
      </patternFill>
    </fill>
    <fill>
      <patternFill patternType="solid">
        <fgColor theme="8"/>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rgb="FFC6E0B4"/>
        <bgColor indexed="64"/>
      </patternFill>
    </fill>
    <fill>
      <patternFill patternType="solid">
        <fgColor rgb="FFFFFFFF"/>
        <bgColor indexed="64"/>
      </patternFill>
    </fill>
    <fill>
      <patternFill patternType="solid">
        <fgColor rgb="FF9CC2E5"/>
        <bgColor indexed="64"/>
      </patternFill>
    </fill>
    <fill>
      <patternFill patternType="solid">
        <fgColor rgb="FF7030A0"/>
        <bgColor indexed="64"/>
      </patternFill>
    </fill>
    <fill>
      <patternFill patternType="solid">
        <fgColor theme="6" tint="0.79998168889431442"/>
        <bgColor indexed="64"/>
      </patternFill>
    </fill>
    <fill>
      <patternFill patternType="solid">
        <fgColor rgb="FF9BC2E6"/>
        <bgColor indexed="64"/>
      </patternFill>
    </fill>
    <fill>
      <patternFill patternType="solid">
        <fgColor rgb="FFF8CBAD"/>
        <bgColor indexed="64"/>
      </patternFill>
    </fill>
    <fill>
      <patternFill patternType="solid">
        <fgColor rgb="FFFCE4D6"/>
        <bgColor indexed="64"/>
      </patternFill>
    </fill>
    <fill>
      <patternFill patternType="solid">
        <fgColor rgb="FFFFD966"/>
        <bgColor indexed="64"/>
      </patternFill>
    </fill>
    <fill>
      <patternFill patternType="solid">
        <fgColor rgb="FFE7E6E6"/>
        <bgColor indexed="64"/>
      </patternFill>
    </fill>
    <fill>
      <patternFill patternType="solid">
        <fgColor rgb="FFFFF2CC"/>
        <bgColor indexed="64"/>
      </patternFill>
    </fill>
    <fill>
      <patternFill patternType="solid">
        <fgColor rgb="FFBF8F00"/>
        <bgColor indexed="64"/>
      </patternFill>
    </fill>
    <fill>
      <patternFill patternType="solid">
        <fgColor theme="0"/>
        <bgColor indexed="64"/>
      </patternFill>
    </fill>
    <fill>
      <patternFill patternType="solid">
        <fgColor theme="7" tint="0.59999389629810485"/>
        <bgColor indexed="64"/>
      </patternFill>
    </fill>
    <fill>
      <patternFill patternType="solid">
        <fgColor rgb="FF92D050"/>
        <bgColor indexed="64"/>
      </patternFill>
    </fill>
  </fills>
  <borders count="64">
    <border>
      <left/>
      <right/>
      <top/>
      <bottom/>
      <diagonal/>
    </border>
    <border>
      <left style="thin">
        <color indexed="64"/>
      </left>
      <right style="thin">
        <color indexed="64"/>
      </right>
      <top style="thin">
        <color indexed="64"/>
      </top>
      <bottom style="thin">
        <color indexed="64"/>
      </bottom>
      <diagonal/>
    </border>
    <border>
      <left/>
      <right/>
      <top style="medium">
        <color rgb="FF000000"/>
      </top>
      <bottom style="medium">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right style="medium">
        <color rgb="FF000000"/>
      </right>
      <top style="medium">
        <color indexed="64"/>
      </top>
      <bottom/>
      <diagonal/>
    </border>
    <border>
      <left style="medium">
        <color rgb="FF000000"/>
      </left>
      <right/>
      <top style="medium">
        <color indexed="64"/>
      </top>
      <bottom/>
      <diagonal/>
    </border>
    <border>
      <left style="medium">
        <color indexed="64"/>
      </left>
      <right/>
      <top/>
      <bottom style="medium">
        <color rgb="FF000000"/>
      </bottom>
      <diagonal/>
    </border>
    <border>
      <left/>
      <right style="medium">
        <color rgb="FF000000"/>
      </right>
      <top/>
      <bottom style="medium">
        <color rgb="FF000000"/>
      </bottom>
      <diagonal/>
    </border>
    <border>
      <left style="medium">
        <color rgb="FF000000"/>
      </left>
      <right/>
      <top/>
      <bottom style="medium">
        <color rgb="FF000000"/>
      </bottom>
      <diagonal/>
    </border>
    <border>
      <left/>
      <right/>
      <top/>
      <bottom style="medium">
        <color rgb="FF000000"/>
      </bottom>
      <diagonal/>
    </border>
    <border>
      <left style="medium">
        <color indexed="64"/>
      </left>
      <right/>
      <top style="medium">
        <color rgb="FF000000"/>
      </top>
      <bottom/>
      <diagonal/>
    </border>
    <border>
      <left/>
      <right style="medium">
        <color rgb="FF000000"/>
      </right>
      <top style="medium">
        <color rgb="FF000000"/>
      </top>
      <bottom/>
      <diagonal/>
    </border>
    <border>
      <left/>
      <right style="medium">
        <color indexed="64"/>
      </right>
      <top/>
      <bottom/>
      <diagonal/>
    </border>
    <border>
      <left style="medium">
        <color indexed="64"/>
      </left>
      <right style="medium">
        <color indexed="64"/>
      </right>
      <top/>
      <bottom/>
      <diagonal/>
    </border>
    <border>
      <left style="medium">
        <color indexed="64"/>
      </left>
      <right style="medium">
        <color indexed="64"/>
      </right>
      <top/>
      <bottom style="medium">
        <color rgb="FF000000"/>
      </bottom>
      <diagonal/>
    </border>
    <border>
      <left/>
      <right style="medium">
        <color rgb="FF000000"/>
      </right>
      <top/>
      <bottom/>
      <diagonal/>
    </border>
    <border>
      <left style="medium">
        <color rgb="FF000000"/>
      </left>
      <right style="medium">
        <color indexed="64"/>
      </right>
      <top style="medium">
        <color indexed="64"/>
      </top>
      <bottom/>
      <diagonal/>
    </border>
    <border>
      <left style="medium">
        <color rgb="FF000000"/>
      </left>
      <right style="medium">
        <color indexed="64"/>
      </right>
      <top/>
      <bottom style="medium">
        <color indexed="64"/>
      </bottom>
      <diagonal/>
    </border>
    <border>
      <left/>
      <right style="medium">
        <color rgb="FF000000"/>
      </right>
      <top/>
      <bottom style="medium">
        <color indexed="64"/>
      </bottom>
      <diagonal/>
    </border>
    <border>
      <left style="medium">
        <color rgb="FF000000"/>
      </left>
      <right style="medium">
        <color indexed="64"/>
      </right>
      <top/>
      <bottom style="medium">
        <color rgb="FF000000"/>
      </bottom>
      <diagonal/>
    </border>
    <border>
      <left/>
      <right style="medium">
        <color rgb="FF000000"/>
      </right>
      <top style="medium">
        <color indexed="64"/>
      </top>
      <bottom style="medium">
        <color indexed="64"/>
      </bottom>
      <diagonal/>
    </border>
    <border>
      <left style="thin">
        <color indexed="64"/>
      </left>
      <right/>
      <top style="thin">
        <color indexed="64"/>
      </top>
      <bottom style="medium">
        <color indexed="64"/>
      </bottom>
      <diagonal/>
    </border>
    <border>
      <left/>
      <right style="thin">
        <color indexed="64"/>
      </right>
      <top/>
      <bottom style="thin">
        <color indexed="64"/>
      </bottom>
      <diagonal/>
    </border>
    <border>
      <left/>
      <right style="thin">
        <color indexed="64"/>
      </right>
      <top style="thin">
        <color indexed="64"/>
      </top>
      <bottom/>
      <diagonal/>
    </border>
    <border>
      <left/>
      <right/>
      <top/>
      <bottom style="thick">
        <color indexed="62"/>
      </bottom>
      <diagonal/>
    </border>
    <border>
      <left/>
      <right/>
      <top style="thin">
        <color indexed="64"/>
      </top>
      <bottom/>
      <diagonal/>
    </border>
  </borders>
  <cellStyleXfs count="15">
    <xf numFmtId="0" fontId="0" fillId="0" borderId="0"/>
    <xf numFmtId="9" fontId="1" fillId="0" borderId="0" applyFont="0" applyFill="0" applyBorder="0" applyAlignment="0" applyProtection="0"/>
    <xf numFmtId="43" fontId="1" fillId="0" borderId="0" applyFont="0" applyFill="0" applyBorder="0" applyAlignment="0" applyProtection="0"/>
    <xf numFmtId="0" fontId="9" fillId="0" borderId="0" applyNumberFormat="0" applyFill="0" applyBorder="0" applyAlignment="0" applyProtection="0"/>
    <xf numFmtId="0" fontId="17" fillId="11" borderId="0" applyNumberFormat="0" applyBorder="0" applyAlignment="0" applyProtection="0"/>
    <xf numFmtId="164" fontId="1" fillId="0" borderId="0" applyFont="0" applyFill="0" applyBorder="0" applyAlignment="0" applyProtection="0"/>
    <xf numFmtId="43" fontId="1" fillId="0" borderId="0" applyFont="0" applyFill="0" applyBorder="0" applyAlignment="0" applyProtection="0"/>
    <xf numFmtId="0" fontId="19" fillId="0" borderId="0"/>
    <xf numFmtId="0" fontId="1" fillId="0" borderId="0"/>
    <xf numFmtId="0" fontId="19" fillId="0" borderId="0"/>
    <xf numFmtId="0" fontId="45" fillId="0" borderId="0"/>
    <xf numFmtId="0" fontId="1" fillId="0" borderId="0"/>
    <xf numFmtId="0" fontId="1" fillId="0" borderId="0"/>
    <xf numFmtId="0" fontId="1" fillId="0" borderId="0"/>
    <xf numFmtId="0" fontId="46" fillId="0" borderId="62" applyNumberFormat="0" applyFill="0" applyAlignment="0" applyProtection="0"/>
  </cellStyleXfs>
  <cellXfs count="459">
    <xf numFmtId="0" fontId="0" fillId="0" borderId="0" xfId="0"/>
    <xf numFmtId="0" fontId="0" fillId="0" borderId="0" xfId="0" applyBorder="1"/>
    <xf numFmtId="0" fontId="0" fillId="0" borderId="1" xfId="0" applyBorder="1"/>
    <xf numFmtId="0" fontId="4" fillId="0" borderId="2" xfId="0" applyFont="1" applyBorder="1" applyAlignment="1">
      <alignment vertical="center" wrapText="1"/>
    </xf>
    <xf numFmtId="3" fontId="0" fillId="0" borderId="0" xfId="0" applyNumberFormat="1"/>
    <xf numFmtId="0" fontId="5" fillId="0" borderId="2" xfId="0" applyFont="1" applyBorder="1" applyAlignment="1">
      <alignment horizontal="left" vertical="center" wrapText="1" indent="1"/>
    </xf>
    <xf numFmtId="0" fontId="5" fillId="0" borderId="0" xfId="0" applyFont="1" applyAlignment="1">
      <alignment horizontal="center" vertical="center" wrapText="1"/>
    </xf>
    <xf numFmtId="0" fontId="5" fillId="0" borderId="0" xfId="0" applyFont="1" applyAlignment="1">
      <alignment horizontal="left" vertical="center" wrapText="1" indent="1"/>
    </xf>
    <xf numFmtId="0" fontId="8" fillId="0" borderId="0" xfId="0" applyFont="1" applyAlignment="1">
      <alignment vertical="center"/>
    </xf>
    <xf numFmtId="0" fontId="3" fillId="0" borderId="0" xfId="0" applyFont="1" applyAlignment="1">
      <alignment vertical="center"/>
    </xf>
    <xf numFmtId="0" fontId="5" fillId="0" borderId="2" xfId="0" applyFont="1" applyBorder="1" applyAlignment="1">
      <alignment horizontal="right" vertical="center" wrapText="1"/>
    </xf>
    <xf numFmtId="3" fontId="5" fillId="0" borderId="0" xfId="0" applyNumberFormat="1" applyFont="1" applyAlignment="1">
      <alignment horizontal="right" vertical="center" wrapText="1"/>
    </xf>
    <xf numFmtId="0" fontId="0" fillId="5" borderId="5" xfId="0" applyFill="1" applyBorder="1"/>
    <xf numFmtId="0" fontId="0" fillId="4" borderId="3" xfId="0" applyFill="1" applyBorder="1"/>
    <xf numFmtId="0" fontId="0" fillId="5" borderId="6" xfId="0" applyFill="1" applyBorder="1" applyAlignment="1">
      <alignment horizontal="center"/>
    </xf>
    <xf numFmtId="0" fontId="0" fillId="5" borderId="9" xfId="0" applyFill="1" applyBorder="1"/>
    <xf numFmtId="0" fontId="0" fillId="6" borderId="4" xfId="0" applyFill="1" applyBorder="1"/>
    <xf numFmtId="0" fontId="0" fillId="6" borderId="1" xfId="0" applyFill="1" applyBorder="1"/>
    <xf numFmtId="0" fontId="10" fillId="0" borderId="3" xfId="0" applyFont="1" applyBorder="1" applyAlignment="1">
      <alignment horizontal="center" vertical="center"/>
    </xf>
    <xf numFmtId="0" fontId="10" fillId="0" borderId="10" xfId="0" applyFont="1" applyBorder="1" applyAlignment="1">
      <alignment horizontal="center" vertical="center"/>
    </xf>
    <xf numFmtId="0" fontId="10" fillId="0" borderId="10" xfId="0" applyFont="1" applyBorder="1" applyAlignment="1">
      <alignment horizontal="center" vertical="center" wrapText="1"/>
    </xf>
    <xf numFmtId="0" fontId="10" fillId="0" borderId="11" xfId="0" applyFont="1" applyBorder="1" applyAlignment="1">
      <alignment vertical="center"/>
    </xf>
    <xf numFmtId="0" fontId="10" fillId="0" borderId="12" xfId="0" applyFont="1" applyBorder="1" applyAlignment="1">
      <alignment vertical="center"/>
    </xf>
    <xf numFmtId="0" fontId="10" fillId="0" borderId="12" xfId="0" applyFont="1" applyBorder="1" applyAlignment="1">
      <alignment vertical="center" wrapText="1"/>
    </xf>
    <xf numFmtId="0" fontId="10" fillId="0" borderId="12" xfId="0" applyFont="1" applyBorder="1" applyAlignment="1">
      <alignment horizontal="right" vertical="center" wrapText="1"/>
    </xf>
    <xf numFmtId="0" fontId="10" fillId="0" borderId="11" xfId="0" applyFont="1" applyBorder="1" applyAlignment="1">
      <alignment horizontal="right" vertical="center"/>
    </xf>
    <xf numFmtId="0" fontId="10" fillId="0" borderId="12" xfId="0" applyFont="1" applyBorder="1" applyAlignment="1">
      <alignment horizontal="right" vertical="center"/>
    </xf>
    <xf numFmtId="0" fontId="11" fillId="0" borderId="12" xfId="0" applyFont="1" applyBorder="1" applyAlignment="1">
      <alignment vertical="center"/>
    </xf>
    <xf numFmtId="0" fontId="11" fillId="0" borderId="12" xfId="0" applyFont="1" applyBorder="1" applyAlignment="1">
      <alignment horizontal="right" vertical="center" wrapText="1"/>
    </xf>
    <xf numFmtId="0" fontId="5" fillId="0" borderId="1" xfId="0" applyFont="1" applyBorder="1" applyAlignment="1">
      <alignment horizontal="center" vertical="center" wrapText="1"/>
    </xf>
    <xf numFmtId="0" fontId="5" fillId="0" borderId="1" xfId="0" applyFont="1" applyBorder="1" applyAlignment="1">
      <alignment horizontal="left" vertical="center" wrapText="1" indent="1"/>
    </xf>
    <xf numFmtId="0" fontId="7" fillId="0" borderId="1" xfId="0" applyFont="1" applyBorder="1" applyAlignment="1">
      <alignment horizontal="center" vertical="center" wrapText="1"/>
    </xf>
    <xf numFmtId="0" fontId="7" fillId="0" borderId="1" xfId="0" applyFont="1" applyBorder="1" applyAlignment="1">
      <alignment horizontal="left" vertical="center" wrapText="1" indent="1"/>
    </xf>
    <xf numFmtId="0" fontId="10" fillId="0" borderId="0" xfId="0" applyFont="1" applyFill="1" applyBorder="1" applyAlignment="1">
      <alignment horizontal="right" vertical="center"/>
    </xf>
    <xf numFmtId="0" fontId="2" fillId="6" borderId="1" xfId="0" applyFont="1" applyFill="1" applyBorder="1"/>
    <xf numFmtId="3" fontId="10" fillId="0" borderId="12" xfId="0" applyNumberFormat="1" applyFont="1" applyBorder="1" applyAlignment="1">
      <alignment horizontal="right" vertical="center"/>
    </xf>
    <xf numFmtId="0" fontId="7" fillId="7" borderId="1" xfId="0" applyFont="1" applyFill="1" applyBorder="1" applyAlignment="1">
      <alignment horizontal="center" vertical="center" wrapText="1"/>
    </xf>
    <xf numFmtId="0" fontId="7" fillId="7" borderId="1" xfId="0" applyFont="1" applyFill="1" applyBorder="1" applyAlignment="1">
      <alignment horizontal="left" vertical="center" wrapText="1" indent="1"/>
    </xf>
    <xf numFmtId="3" fontId="7" fillId="7" borderId="1" xfId="0" applyNumberFormat="1" applyFont="1" applyFill="1" applyBorder="1" applyAlignment="1">
      <alignment horizontal="right" vertical="center" wrapText="1"/>
    </xf>
    <xf numFmtId="3" fontId="7" fillId="0" borderId="1" xfId="0" applyNumberFormat="1" applyFont="1" applyBorder="1" applyAlignment="1">
      <alignment horizontal="right" vertical="center" wrapText="1"/>
    </xf>
    <xf numFmtId="10" fontId="7" fillId="0" borderId="1" xfId="0" applyNumberFormat="1" applyFont="1" applyBorder="1" applyAlignment="1">
      <alignment horizontal="center" vertical="center" wrapText="1"/>
    </xf>
    <xf numFmtId="10" fontId="7" fillId="7" borderId="1" xfId="0" applyNumberFormat="1" applyFont="1" applyFill="1" applyBorder="1" applyAlignment="1">
      <alignment horizontal="center"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indent="1"/>
    </xf>
    <xf numFmtId="3" fontId="5" fillId="8" borderId="1" xfId="0" applyNumberFormat="1" applyFont="1" applyFill="1" applyBorder="1" applyAlignment="1">
      <alignment horizontal="right" vertical="center" wrapText="1"/>
    </xf>
    <xf numFmtId="0" fontId="4" fillId="0" borderId="1" xfId="0" applyFont="1" applyBorder="1" applyAlignment="1">
      <alignment vertical="center" wrapText="1"/>
    </xf>
    <xf numFmtId="3" fontId="5" fillId="0" borderId="1" xfId="0" applyNumberFormat="1" applyFont="1" applyBorder="1" applyAlignment="1">
      <alignment horizontal="right" vertical="center" wrapText="1"/>
    </xf>
    <xf numFmtId="43" fontId="0" fillId="0" borderId="0" xfId="2" applyFont="1"/>
    <xf numFmtId="0" fontId="7" fillId="4" borderId="1" xfId="0" applyFont="1" applyFill="1" applyBorder="1" applyAlignment="1">
      <alignment horizontal="center" vertical="center" wrapText="1"/>
    </xf>
    <xf numFmtId="0" fontId="5" fillId="4" borderId="1" xfId="0" applyFont="1" applyFill="1" applyBorder="1" applyAlignment="1">
      <alignment horizontal="center" vertical="center" wrapText="1"/>
    </xf>
    <xf numFmtId="10" fontId="11" fillId="3" borderId="11" xfId="0" applyNumberFormat="1" applyFont="1" applyFill="1" applyBorder="1" applyAlignment="1">
      <alignment horizontal="right" vertical="center"/>
    </xf>
    <xf numFmtId="0" fontId="0" fillId="0" borderId="22" xfId="0" applyBorder="1"/>
    <xf numFmtId="166" fontId="11" fillId="3" borderId="11" xfId="2" applyNumberFormat="1" applyFont="1" applyFill="1" applyBorder="1" applyAlignment="1">
      <alignment horizontal="right" vertical="center"/>
    </xf>
    <xf numFmtId="166" fontId="10" fillId="0" borderId="12" xfId="2" applyNumberFormat="1" applyFont="1" applyBorder="1" applyAlignment="1">
      <alignment vertical="center"/>
    </xf>
    <xf numFmtId="3" fontId="10" fillId="0" borderId="11" xfId="0" applyNumberFormat="1" applyFont="1" applyBorder="1" applyAlignment="1">
      <alignment horizontal="right" vertical="center"/>
    </xf>
    <xf numFmtId="0" fontId="11" fillId="0" borderId="0" xfId="0" applyFont="1" applyBorder="1" applyAlignment="1">
      <alignment vertical="center"/>
    </xf>
    <xf numFmtId="0" fontId="11" fillId="0" borderId="0" xfId="0" applyFont="1" applyBorder="1" applyAlignment="1">
      <alignment horizontal="right" vertical="center" wrapText="1"/>
    </xf>
    <xf numFmtId="166" fontId="10" fillId="0" borderId="11" xfId="2" applyNumberFormat="1" applyFont="1" applyBorder="1" applyAlignment="1">
      <alignment horizontal="right" vertical="center"/>
    </xf>
    <xf numFmtId="166" fontId="10" fillId="0" borderId="12" xfId="2" applyNumberFormat="1" applyFont="1" applyBorder="1" applyAlignment="1">
      <alignment horizontal="right" vertical="center"/>
    </xf>
    <xf numFmtId="166" fontId="10" fillId="0" borderId="11" xfId="0" applyNumberFormat="1" applyFont="1" applyBorder="1" applyAlignment="1">
      <alignment horizontal="right" vertical="center"/>
    </xf>
    <xf numFmtId="166" fontId="10" fillId="0" borderId="12" xfId="0" applyNumberFormat="1" applyFont="1" applyBorder="1" applyAlignment="1">
      <alignment horizontal="right" vertical="center"/>
    </xf>
    <xf numFmtId="3" fontId="10" fillId="0" borderId="12" xfId="0" applyNumberFormat="1" applyFont="1" applyBorder="1" applyAlignment="1">
      <alignment vertical="center"/>
    </xf>
    <xf numFmtId="2" fontId="11" fillId="3" borderId="3" xfId="0" applyNumberFormat="1" applyFont="1" applyFill="1" applyBorder="1" applyAlignment="1">
      <alignment horizontal="right" vertical="center"/>
    </xf>
    <xf numFmtId="0" fontId="2" fillId="0" borderId="1" xfId="0" applyFont="1" applyBorder="1"/>
    <xf numFmtId="0" fontId="2" fillId="0" borderId="23" xfId="0" applyFont="1" applyBorder="1"/>
    <xf numFmtId="0" fontId="2" fillId="0" borderId="23" xfId="0" applyFont="1" applyFill="1" applyBorder="1"/>
    <xf numFmtId="0" fontId="2" fillId="0" borderId="1" xfId="3" applyFont="1" applyBorder="1"/>
    <xf numFmtId="9" fontId="2" fillId="3" borderId="3" xfId="0" applyNumberFormat="1" applyFont="1" applyFill="1" applyBorder="1"/>
    <xf numFmtId="0" fontId="0" fillId="0" borderId="0" xfId="0" applyAlignment="1">
      <alignment horizontal="center"/>
    </xf>
    <xf numFmtId="0" fontId="16" fillId="11" borderId="1" xfId="4" applyFont="1" applyBorder="1" applyAlignment="1">
      <alignment horizontal="center" vertical="center"/>
    </xf>
    <xf numFmtId="0" fontId="16" fillId="11" borderId="1" xfId="4" applyFont="1" applyBorder="1" applyAlignment="1">
      <alignment horizontal="center" vertical="center" wrapText="1"/>
    </xf>
    <xf numFmtId="9" fontId="10" fillId="0" borderId="12" xfId="0" applyNumberFormat="1" applyFont="1" applyBorder="1" applyAlignment="1">
      <alignment horizontal="right" vertical="center"/>
    </xf>
    <xf numFmtId="43" fontId="10" fillId="0" borderId="12" xfId="2" applyNumberFormat="1" applyFont="1" applyBorder="1" applyAlignment="1">
      <alignment horizontal="right" vertical="center"/>
    </xf>
    <xf numFmtId="0" fontId="0" fillId="0" borderId="1" xfId="0" quotePrefix="1" applyBorder="1"/>
    <xf numFmtId="3" fontId="13" fillId="0" borderId="1" xfId="0" applyNumberFormat="1" applyFont="1" applyBorder="1" applyAlignment="1">
      <alignment horizontal="right" vertical="center"/>
    </xf>
    <xf numFmtId="43" fontId="10" fillId="0" borderId="0" xfId="2" applyNumberFormat="1" applyFont="1" applyBorder="1" applyAlignment="1">
      <alignment horizontal="right" vertical="center"/>
    </xf>
    <xf numFmtId="1" fontId="10" fillId="0" borderId="12" xfId="0" applyNumberFormat="1" applyFont="1" applyBorder="1" applyAlignment="1">
      <alignment vertical="center"/>
    </xf>
    <xf numFmtId="0" fontId="2" fillId="0" borderId="0" xfId="0" applyFont="1"/>
    <xf numFmtId="9" fontId="12" fillId="0" borderId="1" xfId="1" applyFont="1" applyBorder="1" applyAlignment="1">
      <alignment horizontal="center" vertical="center"/>
    </xf>
    <xf numFmtId="38" fontId="0" fillId="15" borderId="1" xfId="5" applyNumberFormat="1" applyFont="1" applyFill="1" applyBorder="1" applyAlignment="1">
      <alignment horizontal="center"/>
    </xf>
    <xf numFmtId="3" fontId="12" fillId="0" borderId="0" xfId="0" applyNumberFormat="1" applyFont="1" applyAlignment="1">
      <alignment horizontal="right" vertical="center"/>
    </xf>
    <xf numFmtId="40" fontId="0" fillId="15" borderId="0" xfId="5" applyNumberFormat="1" applyFont="1" applyFill="1" applyBorder="1" applyAlignment="1">
      <alignment horizontal="right"/>
    </xf>
    <xf numFmtId="164" fontId="0" fillId="15" borderId="0" xfId="5" applyFont="1" applyFill="1" applyBorder="1" applyAlignment="1">
      <alignment horizontal="right"/>
    </xf>
    <xf numFmtId="0" fontId="12" fillId="0" borderId="0" xfId="0" applyFont="1" applyAlignment="1">
      <alignment horizontal="center" vertical="center" wrapText="1"/>
    </xf>
    <xf numFmtId="10" fontId="12" fillId="0" borderId="0" xfId="0" applyNumberFormat="1" applyFont="1" applyAlignment="1">
      <alignment horizontal="center" vertical="center" wrapText="1"/>
    </xf>
    <xf numFmtId="0" fontId="13" fillId="0" borderId="0" xfId="0" applyFont="1" applyAlignment="1">
      <alignment horizontal="center" vertical="center" wrapText="1"/>
    </xf>
    <xf numFmtId="0" fontId="5" fillId="14" borderId="1" xfId="0" applyFont="1" applyFill="1" applyBorder="1" applyAlignment="1">
      <alignment horizontal="center" vertical="center" wrapText="1"/>
    </xf>
    <xf numFmtId="0" fontId="5" fillId="14" borderId="1" xfId="0" applyFont="1" applyFill="1" applyBorder="1" applyAlignment="1">
      <alignment horizontal="left" vertical="center" wrapText="1" indent="1"/>
    </xf>
    <xf numFmtId="0" fontId="0" fillId="0" borderId="0" xfId="0" applyAlignment="1">
      <alignment horizontal="center"/>
    </xf>
    <xf numFmtId="0" fontId="24" fillId="0" borderId="0" xfId="0" applyFont="1" applyAlignment="1">
      <alignment horizontal="justify" vertical="center"/>
    </xf>
    <xf numFmtId="0" fontId="5" fillId="10" borderId="1" xfId="0" applyFont="1" applyFill="1" applyBorder="1" applyAlignment="1">
      <alignment horizontal="center" vertical="center" wrapText="1"/>
    </xf>
    <xf numFmtId="0" fontId="5" fillId="10" borderId="29" xfId="0" applyFont="1" applyFill="1" applyBorder="1" applyAlignment="1">
      <alignment horizontal="center" vertical="center" wrapText="1"/>
    </xf>
    <xf numFmtId="3" fontId="5" fillId="10" borderId="30" xfId="0" applyNumberFormat="1" applyFont="1" applyFill="1" applyBorder="1" applyAlignment="1">
      <alignment horizontal="center" vertical="center" wrapText="1"/>
    </xf>
    <xf numFmtId="0" fontId="7" fillId="4" borderId="29" xfId="0" applyFont="1" applyFill="1" applyBorder="1" applyAlignment="1">
      <alignment horizontal="center" vertical="center" wrapText="1"/>
    </xf>
    <xf numFmtId="3" fontId="7" fillId="4" borderId="30" xfId="0" applyNumberFormat="1" applyFont="1" applyFill="1" applyBorder="1" applyAlignment="1">
      <alignment horizontal="center" vertical="center" wrapText="1"/>
    </xf>
    <xf numFmtId="0" fontId="7" fillId="0" borderId="29" xfId="0" applyFont="1" applyBorder="1" applyAlignment="1">
      <alignment horizontal="center" vertical="center" wrapText="1"/>
    </xf>
    <xf numFmtId="3" fontId="7" fillId="0" borderId="30" xfId="0" applyNumberFormat="1" applyFont="1" applyBorder="1" applyAlignment="1">
      <alignment horizontal="center" vertical="center" wrapText="1"/>
    </xf>
    <xf numFmtId="0" fontId="5" fillId="4" borderId="29" xfId="0" applyFont="1" applyFill="1" applyBorder="1" applyAlignment="1">
      <alignment horizontal="center" vertical="center" wrapText="1"/>
    </xf>
    <xf numFmtId="3" fontId="5" fillId="4" borderId="30" xfId="0" applyNumberFormat="1" applyFont="1" applyFill="1" applyBorder="1" applyAlignment="1">
      <alignment horizontal="center" vertical="center" wrapText="1"/>
    </xf>
    <xf numFmtId="0" fontId="4" fillId="9" borderId="31" xfId="0" applyFont="1" applyFill="1" applyBorder="1" applyAlignment="1">
      <alignment horizontal="center" vertical="center" wrapText="1"/>
    </xf>
    <xf numFmtId="0" fontId="5" fillId="9" borderId="32" xfId="0" applyFont="1" applyFill="1" applyBorder="1" applyAlignment="1">
      <alignment horizontal="center" vertical="center" wrapText="1"/>
    </xf>
    <xf numFmtId="3" fontId="5" fillId="9" borderId="33" xfId="0" applyNumberFormat="1" applyFont="1" applyFill="1" applyBorder="1" applyAlignment="1">
      <alignment horizontal="center" vertical="center" wrapText="1"/>
    </xf>
    <xf numFmtId="0" fontId="4" fillId="6" borderId="26" xfId="0" applyFont="1" applyFill="1" applyBorder="1" applyAlignment="1">
      <alignment horizontal="center" vertical="center" wrapText="1"/>
    </xf>
    <xf numFmtId="0" fontId="5" fillId="6" borderId="27" xfId="0" applyFont="1" applyFill="1" applyBorder="1" applyAlignment="1">
      <alignment horizontal="center" vertical="center" wrapText="1"/>
    </xf>
    <xf numFmtId="0" fontId="5" fillId="6" borderId="28" xfId="0" applyFont="1" applyFill="1" applyBorder="1" applyAlignment="1">
      <alignment horizontal="center" vertical="center" wrapText="1"/>
    </xf>
    <xf numFmtId="0" fontId="5" fillId="17" borderId="1" xfId="0" applyFont="1" applyFill="1" applyBorder="1" applyAlignment="1">
      <alignment horizontal="left" vertical="center" wrapText="1" indent="1"/>
    </xf>
    <xf numFmtId="0" fontId="22" fillId="17" borderId="1" xfId="0" applyFont="1" applyFill="1" applyBorder="1" applyAlignment="1">
      <alignment horizontal="center" vertical="center" wrapText="1"/>
    </xf>
    <xf numFmtId="0" fontId="23" fillId="0" borderId="1" xfId="0" applyFont="1" applyBorder="1" applyAlignment="1">
      <alignment horizontal="center" vertical="center" wrapText="1"/>
    </xf>
    <xf numFmtId="10" fontId="23" fillId="0" borderId="1" xfId="0" applyNumberFormat="1" applyFont="1" applyBorder="1" applyAlignment="1">
      <alignment horizontal="center" vertical="center" wrapText="1"/>
    </xf>
    <xf numFmtId="0" fontId="4" fillId="16" borderId="26" xfId="0" applyFont="1" applyFill="1" applyBorder="1" applyAlignment="1">
      <alignment vertical="center" wrapText="1"/>
    </xf>
    <xf numFmtId="0" fontId="5" fillId="16" borderId="27" xfId="0" applyFont="1" applyFill="1" applyBorder="1" applyAlignment="1">
      <alignment horizontal="left" vertical="center" wrapText="1" indent="1"/>
    </xf>
    <xf numFmtId="0" fontId="4" fillId="16" borderId="27" xfId="0" applyFont="1" applyFill="1" applyBorder="1" applyAlignment="1">
      <alignment vertical="center" wrapText="1"/>
    </xf>
    <xf numFmtId="0" fontId="5" fillId="16" borderId="28" xfId="0" applyFont="1" applyFill="1" applyBorder="1" applyAlignment="1">
      <alignment horizontal="center" vertical="center" wrapText="1"/>
    </xf>
    <xf numFmtId="0" fontId="5" fillId="14" borderId="29" xfId="0" applyFont="1" applyFill="1" applyBorder="1" applyAlignment="1">
      <alignment horizontal="center" vertical="center" wrapText="1"/>
    </xf>
    <xf numFmtId="3" fontId="5" fillId="14" borderId="30" xfId="0" applyNumberFormat="1" applyFont="1" applyFill="1" applyBorder="1" applyAlignment="1">
      <alignment horizontal="center" vertical="center" wrapText="1"/>
    </xf>
    <xf numFmtId="0" fontId="5" fillId="17" borderId="29" xfId="0" applyFont="1" applyFill="1" applyBorder="1" applyAlignment="1">
      <alignment horizontal="center" vertical="center" wrapText="1"/>
    </xf>
    <xf numFmtId="0" fontId="7" fillId="0" borderId="29" xfId="0" applyFont="1" applyBorder="1" applyAlignment="1">
      <alignment horizontal="left" vertical="center" wrapText="1" indent="1"/>
    </xf>
    <xf numFmtId="0" fontId="4" fillId="18" borderId="31" xfId="0" applyFont="1" applyFill="1" applyBorder="1" applyAlignment="1">
      <alignment vertical="center" wrapText="1"/>
    </xf>
    <xf numFmtId="0" fontId="5" fillId="18" borderId="32" xfId="0" applyFont="1" applyFill="1" applyBorder="1" applyAlignment="1">
      <alignment horizontal="left" vertical="center" wrapText="1" indent="1"/>
    </xf>
    <xf numFmtId="0" fontId="5" fillId="18" borderId="32" xfId="0" applyFont="1" applyFill="1" applyBorder="1" applyAlignment="1">
      <alignment horizontal="center" vertical="center" wrapText="1"/>
    </xf>
    <xf numFmtId="0" fontId="25" fillId="0" borderId="1" xfId="0" applyFont="1" applyBorder="1" applyAlignment="1">
      <alignment horizontal="left" vertical="center" wrapText="1" indent="1"/>
    </xf>
    <xf numFmtId="10" fontId="25" fillId="0" borderId="1" xfId="0" applyNumberFormat="1" applyFont="1" applyBorder="1" applyAlignment="1">
      <alignment horizontal="center" vertical="center" wrapText="1"/>
    </xf>
    <xf numFmtId="0" fontId="27" fillId="17" borderId="1" xfId="0" applyFont="1" applyFill="1" applyBorder="1" applyAlignment="1">
      <alignment horizontal="left" vertical="center" wrapText="1" indent="1"/>
    </xf>
    <xf numFmtId="0" fontId="27" fillId="17" borderId="1" xfId="0" applyFont="1" applyFill="1" applyBorder="1" applyAlignment="1">
      <alignment horizontal="center" vertical="center" wrapText="1"/>
    </xf>
    <xf numFmtId="165" fontId="0" fillId="0" borderId="1" xfId="0" applyNumberFormat="1" applyBorder="1" applyAlignment="1">
      <alignment horizontal="center"/>
    </xf>
    <xf numFmtId="0" fontId="2" fillId="0" borderId="0" xfId="0" applyFont="1" applyFill="1"/>
    <xf numFmtId="0" fontId="0" fillId="0" borderId="1" xfId="0" applyBorder="1" applyAlignment="1">
      <alignment horizontal="center" vertical="center"/>
    </xf>
    <xf numFmtId="0" fontId="2" fillId="14" borderId="1" xfId="0" applyFont="1" applyFill="1" applyBorder="1" applyAlignment="1">
      <alignment horizontal="center" vertical="center"/>
    </xf>
    <xf numFmtId="0" fontId="2" fillId="0" borderId="1" xfId="0" applyFont="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0" fillId="0" borderId="25" xfId="0" applyBorder="1" applyAlignment="1">
      <alignment horizontal="center" vertical="center"/>
    </xf>
    <xf numFmtId="3" fontId="12" fillId="0" borderId="1" xfId="0" applyNumberFormat="1" applyFont="1" applyBorder="1" applyAlignment="1">
      <alignment horizontal="center" vertical="center"/>
    </xf>
    <xf numFmtId="4" fontId="12" fillId="0" borderId="1" xfId="0" applyNumberFormat="1" applyFont="1" applyBorder="1" applyAlignment="1">
      <alignment horizontal="center" vertical="center"/>
    </xf>
    <xf numFmtId="3" fontId="13" fillId="14" borderId="1" xfId="0" applyNumberFormat="1" applyFont="1" applyFill="1" applyBorder="1" applyAlignment="1">
      <alignment horizontal="center" vertical="center"/>
    </xf>
    <xf numFmtId="3" fontId="13" fillId="0" borderId="1" xfId="0" applyNumberFormat="1" applyFont="1" applyBorder="1" applyAlignment="1">
      <alignment horizontal="center" vertical="center"/>
    </xf>
    <xf numFmtId="0" fontId="0" fillId="0" borderId="1" xfId="0" quotePrefix="1" applyBorder="1" applyAlignment="1">
      <alignment horizontal="center" vertical="center"/>
    </xf>
    <xf numFmtId="164" fontId="12" fillId="0" borderId="1" xfId="5" applyFont="1" applyBorder="1" applyAlignment="1">
      <alignment horizontal="center" vertical="center"/>
    </xf>
    <xf numFmtId="3" fontId="13" fillId="6" borderId="1" xfId="0" applyNumberFormat="1" applyFont="1" applyFill="1" applyBorder="1" applyAlignment="1">
      <alignment horizontal="center" vertical="center"/>
    </xf>
    <xf numFmtId="168" fontId="12" fillId="0" borderId="1" xfId="0" applyNumberFormat="1" applyFont="1" applyBorder="1" applyAlignment="1">
      <alignment horizontal="center" vertical="center"/>
    </xf>
    <xf numFmtId="3" fontId="13" fillId="7" borderId="1" xfId="0" applyNumberFormat="1" applyFont="1" applyFill="1" applyBorder="1" applyAlignment="1">
      <alignment horizontal="center" vertical="center"/>
    </xf>
    <xf numFmtId="169" fontId="12" fillId="0" borderId="1" xfId="0" applyNumberFormat="1" applyFont="1" applyBorder="1" applyAlignment="1">
      <alignment horizontal="center" vertical="center"/>
    </xf>
    <xf numFmtId="166" fontId="12" fillId="0" borderId="1" xfId="5" applyNumberFormat="1" applyFont="1" applyBorder="1" applyAlignment="1">
      <alignment horizontal="center" vertical="center"/>
    </xf>
    <xf numFmtId="0" fontId="0" fillId="0" borderId="24" xfId="0" applyBorder="1" applyAlignment="1">
      <alignment horizontal="center" vertical="center"/>
    </xf>
    <xf numFmtId="3" fontId="12" fillId="0" borderId="24" xfId="0" applyNumberFormat="1" applyFont="1" applyBorder="1" applyAlignment="1">
      <alignment horizontal="center" vertical="center"/>
    </xf>
    <xf numFmtId="0" fontId="20" fillId="0" borderId="26" xfId="3" applyFont="1" applyBorder="1" applyAlignment="1">
      <alignment horizontal="center" vertical="center"/>
    </xf>
    <xf numFmtId="3" fontId="12" fillId="0" borderId="22" xfId="0" applyNumberFormat="1" applyFont="1" applyBorder="1" applyAlignment="1">
      <alignment horizontal="center" vertical="center"/>
    </xf>
    <xf numFmtId="0" fontId="20" fillId="0" borderId="29" xfId="0" applyFont="1" applyBorder="1" applyAlignment="1">
      <alignment horizontal="center" vertical="center"/>
    </xf>
    <xf numFmtId="0" fontId="20" fillId="0" borderId="31" xfId="0" applyFont="1" applyBorder="1" applyAlignment="1">
      <alignment horizontal="center" vertical="center"/>
    </xf>
    <xf numFmtId="2" fontId="0" fillId="0" borderId="1" xfId="0" applyNumberFormat="1" applyBorder="1" applyAlignment="1">
      <alignment horizontal="center"/>
    </xf>
    <xf numFmtId="0" fontId="0" fillId="12" borderId="1" xfId="0" applyFill="1" applyBorder="1" applyAlignment="1">
      <alignment horizontal="center" vertical="center"/>
    </xf>
    <xf numFmtId="0" fontId="0" fillId="13" borderId="1" xfId="0" applyFill="1" applyBorder="1" applyAlignment="1">
      <alignment horizontal="center" vertical="center"/>
    </xf>
    <xf numFmtId="167" fontId="18" fillId="0" borderId="1" xfId="2" applyNumberFormat="1" applyFont="1" applyBorder="1" applyAlignment="1">
      <alignment horizontal="center" vertical="center"/>
    </xf>
    <xf numFmtId="167" fontId="19" fillId="0" borderId="1" xfId="2" applyNumberFormat="1" applyFont="1" applyBorder="1" applyAlignment="1">
      <alignment horizontal="center" vertical="center"/>
    </xf>
    <xf numFmtId="0" fontId="0" fillId="2" borderId="1" xfId="0" applyFill="1" applyBorder="1" applyAlignment="1">
      <alignment horizontal="center" vertical="center"/>
    </xf>
    <xf numFmtId="1"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28" fillId="0" borderId="0" xfId="0" applyFont="1" applyAlignment="1">
      <alignment horizontal="justify" vertical="center"/>
    </xf>
    <xf numFmtId="0" fontId="29" fillId="0" borderId="0" xfId="0" applyFont="1" applyAlignment="1">
      <alignment horizontal="justify" vertical="center"/>
    </xf>
    <xf numFmtId="0" fontId="2" fillId="0" borderId="1" xfId="0" applyFont="1" applyFill="1" applyBorder="1" applyAlignment="1">
      <alignment horizontal="center" vertical="center"/>
    </xf>
    <xf numFmtId="3" fontId="13" fillId="0" borderId="1" xfId="0" applyNumberFormat="1" applyFont="1" applyFill="1" applyBorder="1" applyAlignment="1">
      <alignment horizontal="center" vertical="center"/>
    </xf>
    <xf numFmtId="0" fontId="0" fillId="14" borderId="1" xfId="0" applyFill="1" applyBorder="1" applyAlignment="1">
      <alignment horizontal="center" vertical="center"/>
    </xf>
    <xf numFmtId="3" fontId="12" fillId="14" borderId="1" xfId="0" applyNumberFormat="1" applyFont="1" applyFill="1" applyBorder="1" applyAlignment="1">
      <alignment horizontal="center" vertical="center"/>
    </xf>
    <xf numFmtId="9" fontId="12" fillId="14" borderId="1" xfId="1" applyFont="1" applyFill="1" applyBorder="1" applyAlignment="1">
      <alignment horizontal="center" vertical="center"/>
    </xf>
    <xf numFmtId="0" fontId="0" fillId="14" borderId="0" xfId="0" applyFill="1"/>
    <xf numFmtId="0" fontId="2" fillId="14" borderId="1" xfId="0" applyFont="1" applyFill="1" applyBorder="1" applyAlignment="1">
      <alignment horizontal="left" vertical="center"/>
    </xf>
    <xf numFmtId="0" fontId="0" fillId="0" borderId="0" xfId="0" applyAlignment="1">
      <alignment horizontal="left"/>
    </xf>
    <xf numFmtId="0" fontId="0" fillId="14" borderId="1" xfId="0" applyFill="1" applyBorder="1" applyAlignment="1">
      <alignment horizontal="left" vertical="center"/>
    </xf>
    <xf numFmtId="0" fontId="16" fillId="14" borderId="1" xfId="4" applyFont="1" applyFill="1" applyBorder="1" applyAlignment="1">
      <alignment horizontal="center" vertical="center"/>
    </xf>
    <xf numFmtId="0" fontId="0" fillId="14" borderId="0" xfId="0" applyFill="1" applyAlignment="1">
      <alignment horizontal="left"/>
    </xf>
    <xf numFmtId="0" fontId="16" fillId="14" borderId="1" xfId="4" applyFont="1" applyFill="1" applyBorder="1" applyAlignment="1">
      <alignment horizontal="center" vertical="center" wrapText="1"/>
    </xf>
    <xf numFmtId="0" fontId="2" fillId="14" borderId="0" xfId="0" applyFont="1" applyFill="1"/>
    <xf numFmtId="164" fontId="0" fillId="0" borderId="0" xfId="0" applyNumberFormat="1"/>
    <xf numFmtId="2" fontId="13" fillId="0" borderId="1" xfId="0" applyNumberFormat="1" applyFont="1" applyFill="1" applyBorder="1" applyAlignment="1">
      <alignment horizontal="center" vertical="center"/>
    </xf>
    <xf numFmtId="0" fontId="2" fillId="2" borderId="0" xfId="0" applyFont="1" applyFill="1" applyAlignment="1">
      <alignment horizontal="center"/>
    </xf>
    <xf numFmtId="3" fontId="5" fillId="17" borderId="34" xfId="0" applyNumberFormat="1" applyFont="1" applyFill="1" applyBorder="1" applyAlignment="1">
      <alignment horizontal="center" vertical="center" wrapText="1"/>
    </xf>
    <xf numFmtId="3" fontId="7" fillId="0" borderId="25" xfId="0" applyNumberFormat="1" applyFont="1" applyBorder="1" applyAlignment="1">
      <alignment horizontal="center" vertical="center" wrapText="1"/>
    </xf>
    <xf numFmtId="3" fontId="5" fillId="17" borderId="35" xfId="0" applyNumberFormat="1" applyFont="1" applyFill="1" applyBorder="1" applyAlignment="1">
      <alignment horizontal="center" vertical="center" wrapText="1"/>
    </xf>
    <xf numFmtId="3" fontId="5" fillId="17" borderId="25" xfId="0" applyNumberFormat="1" applyFont="1" applyFill="1" applyBorder="1" applyAlignment="1">
      <alignment horizontal="center" vertical="center" wrapText="1"/>
    </xf>
    <xf numFmtId="0" fontId="7" fillId="0" borderId="25" xfId="0" applyFont="1" applyBorder="1" applyAlignment="1">
      <alignment horizontal="center" vertical="center" wrapText="1"/>
    </xf>
    <xf numFmtId="2" fontId="13" fillId="14" borderId="1" xfId="0" applyNumberFormat="1" applyFont="1" applyFill="1" applyBorder="1" applyAlignment="1">
      <alignment horizontal="center" vertical="center"/>
    </xf>
    <xf numFmtId="9" fontId="0" fillId="0" borderId="1" xfId="0" applyNumberFormat="1" applyBorder="1" applyAlignment="1">
      <alignment horizontal="center"/>
    </xf>
    <xf numFmtId="3" fontId="7" fillId="0" borderId="1" xfId="0" applyNumberFormat="1" applyFont="1" applyBorder="1" applyAlignment="1">
      <alignment horizontal="center" vertical="center" wrapText="1"/>
    </xf>
    <xf numFmtId="0" fontId="5" fillId="17" borderId="1" xfId="0" applyFont="1" applyFill="1" applyBorder="1" applyAlignment="1">
      <alignment horizontal="center" vertical="center" wrapText="1"/>
    </xf>
    <xf numFmtId="3" fontId="5" fillId="17" borderId="1" xfId="0" applyNumberFormat="1" applyFont="1" applyFill="1" applyBorder="1" applyAlignment="1">
      <alignment horizontal="center" vertical="center" wrapText="1"/>
    </xf>
    <xf numFmtId="165" fontId="0" fillId="17" borderId="1" xfId="0" applyNumberFormat="1" applyFill="1" applyBorder="1" applyAlignment="1">
      <alignment horizontal="center"/>
    </xf>
    <xf numFmtId="170" fontId="12" fillId="0" borderId="1" xfId="1" applyNumberFormat="1" applyFont="1" applyBorder="1" applyAlignment="1">
      <alignment horizontal="center" vertical="center"/>
    </xf>
    <xf numFmtId="3" fontId="12" fillId="0" borderId="1" xfId="0" applyNumberFormat="1" applyFont="1" applyBorder="1" applyAlignment="1">
      <alignment vertical="center"/>
    </xf>
    <xf numFmtId="166" fontId="13" fillId="0" borderId="28" xfId="5" applyNumberFormat="1" applyFont="1" applyFill="1" applyBorder="1" applyAlignment="1">
      <alignment horizontal="center" vertical="center"/>
    </xf>
    <xf numFmtId="0" fontId="16" fillId="11" borderId="1" xfId="4" applyFont="1" applyBorder="1" applyAlignment="1">
      <alignment horizontal="center" vertical="center"/>
    </xf>
    <xf numFmtId="164" fontId="12" fillId="0" borderId="1" xfId="5" applyNumberFormat="1" applyFont="1" applyBorder="1" applyAlignment="1">
      <alignment horizontal="center" vertical="center"/>
    </xf>
    <xf numFmtId="164" fontId="12" fillId="0" borderId="1" xfId="0" applyNumberFormat="1" applyFont="1" applyBorder="1" applyAlignment="1">
      <alignment horizontal="center" vertical="center"/>
    </xf>
    <xf numFmtId="164" fontId="12" fillId="0" borderId="1" xfId="0" applyNumberFormat="1" applyFont="1" applyBorder="1" applyAlignment="1">
      <alignment vertical="center"/>
    </xf>
    <xf numFmtId="164" fontId="12" fillId="0" borderId="1" xfId="5" applyNumberFormat="1" applyFont="1" applyBorder="1" applyAlignment="1">
      <alignment vertical="center"/>
    </xf>
    <xf numFmtId="40" fontId="0" fillId="15" borderId="0" xfId="5" applyNumberFormat="1" applyFont="1" applyFill="1" applyBorder="1" applyAlignment="1">
      <alignment horizontal="center"/>
    </xf>
    <xf numFmtId="164" fontId="0" fillId="15" borderId="0" xfId="5" applyFont="1" applyFill="1" applyBorder="1" applyAlignment="1">
      <alignment horizontal="center"/>
    </xf>
    <xf numFmtId="9" fontId="12" fillId="14" borderId="1" xfId="1" applyFont="1" applyFill="1" applyBorder="1" applyAlignment="1">
      <alignment vertical="center"/>
    </xf>
    <xf numFmtId="3" fontId="13" fillId="0" borderId="1" xfId="0" applyNumberFormat="1" applyFont="1" applyBorder="1" applyAlignment="1">
      <alignment vertical="center"/>
    </xf>
    <xf numFmtId="0" fontId="5" fillId="16" borderId="35" xfId="0" applyFont="1" applyFill="1" applyBorder="1" applyAlignment="1">
      <alignment horizontal="center" vertical="center" wrapText="1"/>
    </xf>
    <xf numFmtId="3" fontId="5" fillId="14" borderId="25" xfId="0" applyNumberFormat="1" applyFont="1" applyFill="1" applyBorder="1" applyAlignment="1">
      <alignment horizontal="center" vertical="center" wrapText="1"/>
    </xf>
    <xf numFmtId="0" fontId="5" fillId="16" borderId="36" xfId="0" applyFont="1" applyFill="1" applyBorder="1" applyAlignment="1">
      <alignment horizontal="center" vertical="center" wrapText="1"/>
    </xf>
    <xf numFmtId="165" fontId="0" fillId="17" borderId="22" xfId="0" applyNumberFormat="1" applyFill="1" applyBorder="1" applyAlignment="1">
      <alignment horizontal="center"/>
    </xf>
    <xf numFmtId="165" fontId="0" fillId="0" borderId="22" xfId="0" applyNumberFormat="1" applyBorder="1" applyAlignment="1">
      <alignment horizontal="center"/>
    </xf>
    <xf numFmtId="3" fontId="5" fillId="17" borderId="37" xfId="0" applyNumberFormat="1" applyFont="1" applyFill="1" applyBorder="1" applyAlignment="1">
      <alignment horizontal="center" vertical="center" wrapText="1"/>
    </xf>
    <xf numFmtId="3" fontId="5" fillId="18" borderId="1" xfId="0" applyNumberFormat="1" applyFont="1" applyFill="1" applyBorder="1" applyAlignment="1">
      <alignment horizontal="center" vertical="center" wrapText="1"/>
    </xf>
    <xf numFmtId="0" fontId="0" fillId="0" borderId="0" xfId="0"/>
    <xf numFmtId="0" fontId="0" fillId="0" borderId="1" xfId="0" applyBorder="1" applyAlignment="1">
      <alignment horizontal="center" vertical="center"/>
    </xf>
    <xf numFmtId="0" fontId="2" fillId="0" borderId="1" xfId="0" applyFont="1" applyBorder="1" applyAlignment="1">
      <alignment horizontal="center" vertical="center"/>
    </xf>
    <xf numFmtId="2" fontId="0" fillId="0" borderId="1" xfId="0" applyNumberFormat="1" applyBorder="1" applyAlignment="1">
      <alignment horizontal="center" vertical="center"/>
    </xf>
    <xf numFmtId="0" fontId="4" fillId="18" borderId="40" xfId="0" applyFont="1" applyFill="1" applyBorder="1" applyAlignment="1">
      <alignment vertical="center" wrapText="1"/>
    </xf>
    <xf numFmtId="0" fontId="5" fillId="18" borderId="24" xfId="0" applyFont="1" applyFill="1" applyBorder="1" applyAlignment="1">
      <alignment horizontal="left" vertical="center" wrapText="1" indent="1"/>
    </xf>
    <xf numFmtId="0" fontId="5" fillId="18" borderId="24" xfId="0" applyFont="1" applyFill="1" applyBorder="1" applyAlignment="1">
      <alignment horizontal="center" vertical="center" wrapText="1"/>
    </xf>
    <xf numFmtId="3" fontId="5" fillId="18" borderId="34" xfId="0" applyNumberFormat="1" applyFont="1" applyFill="1" applyBorder="1" applyAlignment="1">
      <alignment horizontal="center" vertical="center" wrapText="1"/>
    </xf>
    <xf numFmtId="1" fontId="2" fillId="17" borderId="39" xfId="0" applyNumberFormat="1" applyFont="1" applyFill="1" applyBorder="1" applyAlignment="1">
      <alignment horizontal="center"/>
    </xf>
    <xf numFmtId="0" fontId="4" fillId="18" borderId="1" xfId="0" applyFont="1" applyFill="1" applyBorder="1" applyAlignment="1">
      <alignment vertical="center" wrapText="1"/>
    </xf>
    <xf numFmtId="0" fontId="5" fillId="18" borderId="1" xfId="0" applyFont="1" applyFill="1" applyBorder="1" applyAlignment="1">
      <alignment horizontal="left" vertical="center" wrapText="1" indent="1"/>
    </xf>
    <xf numFmtId="0" fontId="5" fillId="18" borderId="1" xfId="0" applyFont="1" applyFill="1" applyBorder="1" applyAlignment="1">
      <alignment horizontal="center" vertical="center" wrapText="1"/>
    </xf>
    <xf numFmtId="1" fontId="0" fillId="0" borderId="0" xfId="0" applyNumberFormat="1"/>
    <xf numFmtId="0" fontId="2" fillId="2" borderId="1" xfId="0" applyFont="1" applyFill="1" applyBorder="1" applyAlignment="1">
      <alignment horizontal="left"/>
    </xf>
    <xf numFmtId="0" fontId="5" fillId="16" borderId="1" xfId="0" applyFont="1" applyFill="1" applyBorder="1" applyAlignment="1">
      <alignment horizontal="left" vertical="center" wrapText="1"/>
    </xf>
    <xf numFmtId="3" fontId="5" fillId="14" borderId="1" xfId="0" applyNumberFormat="1" applyFont="1" applyFill="1" applyBorder="1" applyAlignment="1">
      <alignment horizontal="left" vertical="center" wrapText="1"/>
    </xf>
    <xf numFmtId="3" fontId="5" fillId="17" borderId="1" xfId="0" applyNumberFormat="1" applyFont="1" applyFill="1" applyBorder="1" applyAlignment="1">
      <alignment horizontal="left" vertical="center" wrapText="1"/>
    </xf>
    <xf numFmtId="3" fontId="7" fillId="0" borderId="1" xfId="0" applyNumberFormat="1" applyFont="1" applyBorder="1" applyAlignment="1">
      <alignment horizontal="left" vertical="center" wrapText="1"/>
    </xf>
    <xf numFmtId="0" fontId="7" fillId="0" borderId="1" xfId="0" applyFont="1" applyBorder="1" applyAlignment="1">
      <alignment horizontal="left" vertical="center" wrapText="1"/>
    </xf>
    <xf numFmtId="3" fontId="5" fillId="18" borderId="1" xfId="0" applyNumberFormat="1" applyFont="1" applyFill="1" applyBorder="1" applyAlignment="1">
      <alignment horizontal="left" vertical="center" wrapText="1"/>
    </xf>
    <xf numFmtId="3" fontId="5" fillId="18" borderId="1" xfId="0" applyNumberFormat="1" applyFont="1" applyFill="1" applyBorder="1" applyAlignment="1">
      <alignment vertical="center" wrapText="1"/>
    </xf>
    <xf numFmtId="0" fontId="4" fillId="16" borderId="41" xfId="0" applyFont="1" applyFill="1" applyBorder="1" applyAlignment="1">
      <alignment vertical="center" wrapText="1"/>
    </xf>
    <xf numFmtId="0" fontId="5" fillId="16" borderId="4" xfId="0" applyFont="1" applyFill="1" applyBorder="1" applyAlignment="1">
      <alignment horizontal="left" vertical="center" wrapText="1" indent="1"/>
    </xf>
    <xf numFmtId="0" fontId="4" fillId="16" borderId="4" xfId="0" applyFont="1" applyFill="1" applyBorder="1" applyAlignment="1">
      <alignment vertical="center" wrapText="1"/>
    </xf>
    <xf numFmtId="0" fontId="5" fillId="16" borderId="4" xfId="0" applyFont="1" applyFill="1" applyBorder="1" applyAlignment="1">
      <alignment horizontal="left" vertical="center" wrapText="1"/>
    </xf>
    <xf numFmtId="0" fontId="0" fillId="0" borderId="4" xfId="0" applyBorder="1" applyAlignment="1">
      <alignment horizontal="left"/>
    </xf>
    <xf numFmtId="0" fontId="29" fillId="0" borderId="0" xfId="0" applyFont="1"/>
    <xf numFmtId="0" fontId="32" fillId="19" borderId="18" xfId="0" applyFont="1" applyFill="1" applyBorder="1" applyAlignment="1">
      <alignment horizontal="center" vertical="center" wrapText="1"/>
    </xf>
    <xf numFmtId="0" fontId="32" fillId="19" borderId="12" xfId="0" applyFont="1" applyFill="1" applyBorder="1" applyAlignment="1">
      <alignment horizontal="center" vertical="center" wrapText="1"/>
    </xf>
    <xf numFmtId="0" fontId="33" fillId="0" borderId="11" xfId="0" applyFont="1" applyBorder="1" applyAlignment="1">
      <alignment horizontal="center" vertical="center"/>
    </xf>
    <xf numFmtId="0" fontId="33" fillId="0" borderId="12" xfId="0" applyFont="1" applyBorder="1" applyAlignment="1">
      <alignment horizontal="center" vertical="center" wrapText="1"/>
    </xf>
    <xf numFmtId="0" fontId="33" fillId="17" borderId="12" xfId="0" applyFont="1" applyFill="1" applyBorder="1" applyAlignment="1">
      <alignment horizontal="center" vertical="center" wrapText="1"/>
    </xf>
    <xf numFmtId="0" fontId="33" fillId="0" borderId="12" xfId="0" applyFont="1" applyFill="1" applyBorder="1" applyAlignment="1">
      <alignment horizontal="center" vertical="center" wrapText="1"/>
    </xf>
    <xf numFmtId="0" fontId="33" fillId="20" borderId="12" xfId="0" applyFont="1" applyFill="1" applyBorder="1" applyAlignment="1">
      <alignment horizontal="center" vertical="center" wrapText="1"/>
    </xf>
    <xf numFmtId="0" fontId="33" fillId="21" borderId="11" xfId="0" applyFont="1" applyFill="1" applyBorder="1" applyAlignment="1">
      <alignment horizontal="center" vertical="center"/>
    </xf>
    <xf numFmtId="0" fontId="32" fillId="21" borderId="12" xfId="0" applyFont="1" applyFill="1" applyBorder="1" applyAlignment="1">
      <alignment horizontal="center" vertical="center" wrapText="1"/>
    </xf>
    <xf numFmtId="0" fontId="33" fillId="21" borderId="12" xfId="0" applyFont="1" applyFill="1" applyBorder="1" applyAlignment="1">
      <alignment horizontal="center" vertical="center" wrapText="1"/>
    </xf>
    <xf numFmtId="0" fontId="29" fillId="21" borderId="12" xfId="0" applyFont="1" applyFill="1" applyBorder="1" applyAlignment="1">
      <alignment horizontal="center" vertical="center" wrapText="1"/>
    </xf>
    <xf numFmtId="0" fontId="33" fillId="20" borderId="11" xfId="0" applyFont="1" applyFill="1" applyBorder="1" applyAlignment="1">
      <alignment horizontal="center" vertical="center"/>
    </xf>
    <xf numFmtId="0" fontId="32" fillId="0" borderId="12" xfId="0" applyFont="1" applyBorder="1" applyAlignment="1">
      <alignment horizontal="center" vertical="center" wrapText="1"/>
    </xf>
    <xf numFmtId="0" fontId="33" fillId="0" borderId="11" xfId="0" applyFont="1" applyBorder="1" applyAlignment="1">
      <alignment horizontal="center" vertical="center" wrapText="1"/>
    </xf>
    <xf numFmtId="0" fontId="33" fillId="17" borderId="11" xfId="0" applyFont="1" applyFill="1" applyBorder="1" applyAlignment="1">
      <alignment horizontal="center" vertical="center" wrapText="1"/>
    </xf>
    <xf numFmtId="0" fontId="33" fillId="21" borderId="11" xfId="0" applyFont="1" applyFill="1" applyBorder="1" applyAlignment="1">
      <alignment horizontal="center" vertical="center" wrapText="1"/>
    </xf>
    <xf numFmtId="0" fontId="29" fillId="0" borderId="12" xfId="0" applyFont="1" applyBorder="1" applyAlignment="1">
      <alignment horizontal="center"/>
    </xf>
    <xf numFmtId="1" fontId="7" fillId="0" borderId="25" xfId="0" applyNumberFormat="1" applyFont="1" applyBorder="1" applyAlignment="1">
      <alignment horizontal="center" vertical="center" wrapText="1"/>
    </xf>
    <xf numFmtId="165" fontId="25" fillId="0" borderId="1" xfId="0" applyNumberFormat="1" applyFont="1" applyBorder="1" applyAlignment="1">
      <alignment horizontal="center" vertical="center" wrapText="1"/>
    </xf>
    <xf numFmtId="4" fontId="7" fillId="0" borderId="25" xfId="0" applyNumberFormat="1" applyFont="1" applyBorder="1" applyAlignment="1">
      <alignment horizontal="center" vertical="center" wrapText="1"/>
    </xf>
    <xf numFmtId="2" fontId="0" fillId="0" borderId="0" xfId="0" applyNumberFormat="1"/>
    <xf numFmtId="0" fontId="0" fillId="0" borderId="0" xfId="0" applyAlignment="1">
      <alignment vertical="center" wrapText="1"/>
    </xf>
    <xf numFmtId="0" fontId="32" fillId="25" borderId="12" xfId="0" applyFont="1" applyFill="1" applyBorder="1" applyAlignment="1">
      <alignment horizontal="center" vertical="center"/>
    </xf>
    <xf numFmtId="0" fontId="32" fillId="26" borderId="50" xfId="0" applyFont="1" applyFill="1" applyBorder="1" applyAlignment="1">
      <alignment horizontal="center" vertical="center"/>
    </xf>
    <xf numFmtId="0" fontId="32" fillId="0" borderId="11" xfId="0" applyFont="1" applyBorder="1" applyAlignment="1">
      <alignment horizontal="center" vertical="center" wrapText="1"/>
    </xf>
    <xf numFmtId="0" fontId="32" fillId="27" borderId="13" xfId="0" applyFont="1" applyFill="1" applyBorder="1" applyAlignment="1">
      <alignment vertical="center"/>
    </xf>
    <xf numFmtId="0" fontId="33" fillId="29" borderId="13" xfId="0" applyFont="1" applyFill="1" applyBorder="1" applyAlignment="1">
      <alignment vertical="center"/>
    </xf>
    <xf numFmtId="0" fontId="33" fillId="29" borderId="12" xfId="0" applyFont="1" applyFill="1" applyBorder="1" applyAlignment="1">
      <alignment vertical="center"/>
    </xf>
    <xf numFmtId="0" fontId="33" fillId="29" borderId="12" xfId="0" applyFont="1" applyFill="1" applyBorder="1" applyAlignment="1">
      <alignment horizontal="center" vertical="center"/>
    </xf>
    <xf numFmtId="1" fontId="33" fillId="29" borderId="12" xfId="0" applyNumberFormat="1" applyFont="1" applyFill="1" applyBorder="1" applyAlignment="1">
      <alignment horizontal="center" vertical="center"/>
    </xf>
    <xf numFmtId="0" fontId="33" fillId="27" borderId="12" xfId="0" applyFont="1" applyFill="1" applyBorder="1" applyAlignment="1">
      <alignment horizontal="center" vertical="center"/>
    </xf>
    <xf numFmtId="0" fontId="0" fillId="27" borderId="3" xfId="0" applyFill="1" applyBorder="1" applyAlignment="1">
      <alignment vertical="center"/>
    </xf>
    <xf numFmtId="0" fontId="0" fillId="27" borderId="10" xfId="0" applyFill="1" applyBorder="1" applyAlignment="1">
      <alignment vertical="center"/>
    </xf>
    <xf numFmtId="1" fontId="19" fillId="27" borderId="10" xfId="0" applyNumberFormat="1" applyFont="1" applyFill="1" applyBorder="1" applyAlignment="1">
      <alignment horizontal="center" vertical="center"/>
    </xf>
    <xf numFmtId="0" fontId="33" fillId="29" borderId="13" xfId="0" applyFont="1" applyFill="1" applyBorder="1" applyAlignment="1">
      <alignment vertical="center" wrapText="1"/>
    </xf>
    <xf numFmtId="0" fontId="35" fillId="29" borderId="12" xfId="0" applyFont="1" applyFill="1" applyBorder="1" applyAlignment="1">
      <alignment horizontal="center" vertical="center"/>
    </xf>
    <xf numFmtId="0" fontId="12" fillId="29" borderId="13" xfId="0" applyFont="1" applyFill="1" applyBorder="1" applyAlignment="1">
      <alignment vertical="center" wrapText="1"/>
    </xf>
    <xf numFmtId="0" fontId="33" fillId="29" borderId="13" xfId="0" applyFont="1" applyFill="1" applyBorder="1" applyAlignment="1">
      <alignment horizontal="center" vertical="center"/>
    </xf>
    <xf numFmtId="0" fontId="32" fillId="30" borderId="13" xfId="0" applyFont="1" applyFill="1" applyBorder="1" applyAlignment="1">
      <alignment vertical="center"/>
    </xf>
    <xf numFmtId="1" fontId="32" fillId="30" borderId="13" xfId="0" applyNumberFormat="1" applyFont="1" applyFill="1" applyBorder="1" applyAlignment="1">
      <alignment horizontal="center" vertical="center"/>
    </xf>
    <xf numFmtId="0" fontId="32" fillId="30" borderId="11" xfId="0" applyFont="1" applyFill="1" applyBorder="1" applyAlignment="1">
      <alignment horizontal="center" vertical="center" wrapText="1"/>
    </xf>
    <xf numFmtId="0" fontId="29" fillId="0" borderId="13" xfId="0" applyFont="1" applyBorder="1" applyAlignment="1">
      <alignment vertical="center" wrapText="1"/>
    </xf>
    <xf numFmtId="0" fontId="18" fillId="30" borderId="13" xfId="0" applyFont="1" applyFill="1" applyBorder="1" applyAlignment="1">
      <alignment vertical="center"/>
    </xf>
    <xf numFmtId="0" fontId="18" fillId="0" borderId="11" xfId="0" applyFont="1" applyBorder="1" applyAlignment="1">
      <alignment horizontal="center" vertical="center" wrapText="1"/>
    </xf>
    <xf numFmtId="0" fontId="19" fillId="0" borderId="13" xfId="0" applyFont="1" applyBorder="1" applyAlignment="1">
      <alignment vertical="center" wrapText="1"/>
    </xf>
    <xf numFmtId="0" fontId="19" fillId="0" borderId="11" xfId="0" applyFont="1" applyBorder="1" applyAlignment="1">
      <alignment horizontal="center" vertical="center" wrapText="1"/>
    </xf>
    <xf numFmtId="0" fontId="19" fillId="29" borderId="12" xfId="0" applyFont="1" applyFill="1" applyBorder="1" applyAlignment="1">
      <alignment horizontal="center" vertical="center"/>
    </xf>
    <xf numFmtId="0" fontId="18" fillId="30" borderId="11" xfId="0" applyFont="1" applyFill="1" applyBorder="1" applyAlignment="1">
      <alignment horizontal="center" vertical="center" wrapText="1"/>
    </xf>
    <xf numFmtId="0" fontId="19" fillId="29" borderId="13" xfId="0" applyFont="1" applyFill="1" applyBorder="1" applyAlignment="1">
      <alignment horizontal="center" vertical="center"/>
    </xf>
    <xf numFmtId="0" fontId="19" fillId="29" borderId="13" xfId="0" applyFont="1" applyFill="1" applyBorder="1" applyAlignment="1">
      <alignment vertical="center"/>
    </xf>
    <xf numFmtId="0" fontId="19" fillId="27" borderId="12" xfId="0" applyFont="1" applyFill="1" applyBorder="1" applyAlignment="1">
      <alignment horizontal="center" vertical="center"/>
    </xf>
    <xf numFmtId="0" fontId="35" fillId="27" borderId="50" xfId="0" applyFont="1" applyFill="1" applyBorder="1" applyAlignment="1">
      <alignment vertical="center"/>
    </xf>
    <xf numFmtId="0" fontId="19" fillId="29" borderId="12" xfId="0" applyFont="1" applyFill="1" applyBorder="1" applyAlignment="1">
      <alignment vertical="center"/>
    </xf>
    <xf numFmtId="0" fontId="18" fillId="27" borderId="13" xfId="0" applyFont="1" applyFill="1" applyBorder="1" applyAlignment="1">
      <alignment vertical="center"/>
    </xf>
    <xf numFmtId="0" fontId="18" fillId="26" borderId="50" xfId="0" applyFont="1" applyFill="1" applyBorder="1" applyAlignment="1">
      <alignment horizontal="center" vertical="center"/>
    </xf>
    <xf numFmtId="0" fontId="18" fillId="25" borderId="12" xfId="0" applyFont="1" applyFill="1" applyBorder="1" applyAlignment="1">
      <alignment horizontal="center" vertical="center"/>
    </xf>
    <xf numFmtId="0" fontId="38" fillId="31" borderId="1" xfId="0" applyFont="1" applyFill="1" applyBorder="1" applyAlignment="1">
      <alignment horizontal="center" vertical="center"/>
    </xf>
    <xf numFmtId="2" fontId="38" fillId="31" borderId="1" xfId="0" applyNumberFormat="1" applyFont="1" applyFill="1" applyBorder="1" applyAlignment="1">
      <alignment horizontal="center" vertical="center"/>
    </xf>
    <xf numFmtId="0" fontId="39" fillId="0" borderId="1" xfId="0" applyFont="1" applyBorder="1" applyAlignment="1">
      <alignment horizontal="center" vertical="center"/>
    </xf>
    <xf numFmtId="0" fontId="40" fillId="0" borderId="1" xfId="9" applyFont="1" applyBorder="1" applyAlignment="1">
      <alignment horizontal="center" vertical="center"/>
    </xf>
    <xf numFmtId="0" fontId="0" fillId="0" borderId="1" xfId="0" applyBorder="1" applyAlignment="1">
      <alignment horizontal="center"/>
    </xf>
    <xf numFmtId="0" fontId="39" fillId="17" borderId="1" xfId="0" applyFont="1" applyFill="1" applyBorder="1" applyAlignment="1">
      <alignment horizontal="center" vertical="center"/>
    </xf>
    <xf numFmtId="0" fontId="5" fillId="6" borderId="36" xfId="0" applyFont="1" applyFill="1" applyBorder="1" applyAlignment="1">
      <alignment horizontal="center" vertical="center" wrapText="1"/>
    </xf>
    <xf numFmtId="0" fontId="5" fillId="10" borderId="25" xfId="0" applyFont="1" applyFill="1" applyBorder="1" applyAlignment="1">
      <alignment horizontal="center" vertical="center" wrapText="1"/>
    </xf>
    <xf numFmtId="0" fontId="7" fillId="4" borderId="25" xfId="0" applyFont="1" applyFill="1" applyBorder="1" applyAlignment="1">
      <alignment horizontal="center" vertical="center" wrapText="1"/>
    </xf>
    <xf numFmtId="0" fontId="5" fillId="4" borderId="25" xfId="0" applyFont="1" applyFill="1" applyBorder="1" applyAlignment="1">
      <alignment horizontal="center" vertical="center" wrapText="1"/>
    </xf>
    <xf numFmtId="0" fontId="5" fillId="9" borderId="59" xfId="0" applyFont="1" applyFill="1" applyBorder="1" applyAlignment="1">
      <alignment horizontal="center" vertical="center" wrapText="1"/>
    </xf>
    <xf numFmtId="9" fontId="7" fillId="0" borderId="25" xfId="1" applyFont="1" applyBorder="1" applyAlignment="1">
      <alignment horizontal="center" vertical="center" wrapText="1"/>
    </xf>
    <xf numFmtId="9" fontId="7" fillId="0" borderId="25" xfId="1" applyNumberFormat="1" applyFont="1" applyBorder="1" applyAlignment="1">
      <alignment horizontal="center" vertical="center" wrapText="1"/>
    </xf>
    <xf numFmtId="9" fontId="5" fillId="4" borderId="25" xfId="1" applyFont="1" applyFill="1" applyBorder="1" applyAlignment="1">
      <alignment horizontal="center" vertical="center" wrapText="1"/>
    </xf>
    <xf numFmtId="10" fontId="13" fillId="0" borderId="30" xfId="0" applyNumberFormat="1" applyFont="1" applyBorder="1" applyAlignment="1">
      <alignment vertical="center"/>
    </xf>
    <xf numFmtId="164" fontId="20" fillId="0" borderId="33" xfId="5" applyFont="1" applyFill="1" applyBorder="1" applyAlignment="1">
      <alignment vertical="center"/>
    </xf>
    <xf numFmtId="0" fontId="38" fillId="17" borderId="1" xfId="0" applyFont="1" applyFill="1" applyBorder="1" applyAlignment="1">
      <alignment horizontal="center" vertical="center"/>
    </xf>
    <xf numFmtId="0" fontId="37" fillId="31" borderId="1" xfId="0" applyFont="1" applyFill="1" applyBorder="1" applyAlignment="1">
      <alignment vertical="center"/>
    </xf>
    <xf numFmtId="2" fontId="32" fillId="0" borderId="12" xfId="0" applyNumberFormat="1" applyFont="1" applyBorder="1" applyAlignment="1">
      <alignment horizontal="center" vertical="center" wrapText="1"/>
    </xf>
    <xf numFmtId="2" fontId="33" fillId="29" borderId="12" xfId="0" applyNumberFormat="1" applyFont="1" applyFill="1" applyBorder="1" applyAlignment="1">
      <alignment horizontal="center" vertical="center"/>
    </xf>
    <xf numFmtId="0" fontId="37" fillId="17" borderId="1" xfId="0" applyFont="1" applyFill="1" applyBorder="1" applyAlignment="1">
      <alignment horizontal="center" vertical="center"/>
    </xf>
    <xf numFmtId="0" fontId="0" fillId="0" borderId="60" xfId="0" applyBorder="1" applyAlignment="1">
      <alignment horizontal="center" vertical="center"/>
    </xf>
    <xf numFmtId="0" fontId="41" fillId="31" borderId="4" xfId="0" applyFont="1" applyFill="1" applyBorder="1" applyAlignment="1">
      <alignment horizontal="center" vertical="center"/>
    </xf>
    <xf numFmtId="0" fontId="42" fillId="0" borderId="4" xfId="7" applyFont="1" applyBorder="1" applyAlignment="1">
      <alignment horizontal="center" vertical="center"/>
    </xf>
    <xf numFmtId="0" fontId="0" fillId="0" borderId="22" xfId="0" applyBorder="1" applyAlignment="1">
      <alignment horizontal="center" vertical="center"/>
    </xf>
    <xf numFmtId="1" fontId="0" fillId="32" borderId="1" xfId="0" applyNumberFormat="1" applyFill="1" applyBorder="1" applyAlignment="1">
      <alignment horizontal="center" vertical="center"/>
    </xf>
    <xf numFmtId="0" fontId="0" fillId="2" borderId="22" xfId="0" applyFill="1" applyBorder="1" applyAlignment="1">
      <alignment horizontal="center" vertical="center"/>
    </xf>
    <xf numFmtId="0" fontId="0" fillId="0" borderId="61" xfId="0" applyBorder="1" applyAlignment="1">
      <alignment horizontal="center" vertical="center"/>
    </xf>
    <xf numFmtId="0" fontId="39" fillId="6" borderId="1" xfId="0" applyFont="1" applyFill="1" applyBorder="1" applyAlignment="1">
      <alignment horizontal="center" vertical="center"/>
    </xf>
    <xf numFmtId="1" fontId="4" fillId="0" borderId="1" xfId="0" applyNumberFormat="1" applyFont="1" applyBorder="1" applyAlignment="1">
      <alignment horizontal="center"/>
    </xf>
    <xf numFmtId="0" fontId="2" fillId="6" borderId="60" xfId="0" applyFont="1" applyFill="1" applyBorder="1" applyAlignment="1">
      <alignment horizontal="center" vertical="center"/>
    </xf>
    <xf numFmtId="0" fontId="43" fillId="6" borderId="4" xfId="0" applyFont="1" applyFill="1" applyBorder="1" applyAlignment="1">
      <alignment horizontal="center" vertical="center"/>
    </xf>
    <xf numFmtId="0" fontId="44" fillId="6" borderId="4" xfId="7" applyFont="1" applyFill="1" applyBorder="1" applyAlignment="1">
      <alignment horizontal="center" vertical="center"/>
    </xf>
    <xf numFmtId="1" fontId="0" fillId="0" borderId="1" xfId="0" applyNumberFormat="1" applyBorder="1" applyAlignment="1">
      <alignment horizontal="center" vertical="center"/>
    </xf>
    <xf numFmtId="1" fontId="0" fillId="2" borderId="1" xfId="0" applyNumberFormat="1" applyFill="1" applyBorder="1" applyAlignment="1">
      <alignment horizontal="center" vertical="center"/>
    </xf>
    <xf numFmtId="0" fontId="0" fillId="17" borderId="60" xfId="0" applyFill="1" applyBorder="1" applyAlignment="1">
      <alignment horizontal="center" vertical="center"/>
    </xf>
    <xf numFmtId="0" fontId="41" fillId="17" borderId="4" xfId="0" applyFont="1" applyFill="1" applyBorder="1" applyAlignment="1">
      <alignment horizontal="center" vertical="center"/>
    </xf>
    <xf numFmtId="0" fontId="42" fillId="17" borderId="4" xfId="7" applyFont="1" applyFill="1" applyBorder="1" applyAlignment="1">
      <alignment horizontal="center" vertical="center"/>
    </xf>
    <xf numFmtId="1" fontId="19" fillId="29" borderId="12" xfId="0" applyNumberFormat="1" applyFont="1" applyFill="1" applyBorder="1" applyAlignment="1">
      <alignment horizontal="center" vertical="center"/>
    </xf>
    <xf numFmtId="1" fontId="19" fillId="27" borderId="50" xfId="0" applyNumberFormat="1" applyFont="1" applyFill="1" applyBorder="1" applyAlignment="1">
      <alignment horizontal="center" vertical="center"/>
    </xf>
    <xf numFmtId="1" fontId="35" fillId="29" borderId="12" xfId="0" applyNumberFormat="1" applyFont="1" applyFill="1" applyBorder="1" applyAlignment="1">
      <alignment horizontal="center" vertical="center"/>
    </xf>
    <xf numFmtId="1" fontId="18" fillId="30" borderId="13" xfId="0" applyNumberFormat="1" applyFont="1" applyFill="1" applyBorder="1" applyAlignment="1">
      <alignment horizontal="center" vertical="center"/>
    </xf>
    <xf numFmtId="1" fontId="19" fillId="30" borderId="13" xfId="0" applyNumberFormat="1" applyFont="1" applyFill="1" applyBorder="1" applyAlignment="1">
      <alignment horizontal="center" vertical="center"/>
    </xf>
    <xf numFmtId="1" fontId="33" fillId="30" borderId="13" xfId="0" applyNumberFormat="1" applyFont="1" applyFill="1" applyBorder="1" applyAlignment="1">
      <alignment horizontal="center" vertical="center"/>
    </xf>
    <xf numFmtId="1" fontId="33" fillId="29" borderId="13" xfId="0" applyNumberFormat="1" applyFont="1" applyFill="1" applyBorder="1" applyAlignment="1">
      <alignment horizontal="center" vertical="center"/>
    </xf>
    <xf numFmtId="0" fontId="0" fillId="0" borderId="0" xfId="0" applyFont="1"/>
    <xf numFmtId="0" fontId="33" fillId="0" borderId="14" xfId="0" applyFont="1" applyBorder="1" applyAlignment="1">
      <alignment horizontal="center" vertical="center" wrapText="1"/>
    </xf>
    <xf numFmtId="0" fontId="33" fillId="0" borderId="15" xfId="0" applyFont="1" applyBorder="1" applyAlignment="1">
      <alignment horizontal="center" vertical="center" wrapText="1"/>
    </xf>
    <xf numFmtId="0" fontId="33" fillId="0" borderId="18" xfId="0" applyFont="1" applyBorder="1" applyAlignment="1">
      <alignment horizontal="center" vertical="center" wrapText="1"/>
    </xf>
    <xf numFmtId="0" fontId="33" fillId="0" borderId="17" xfId="0" applyFont="1" applyBorder="1" applyAlignment="1">
      <alignment horizontal="center" vertical="center" wrapText="1"/>
    </xf>
    <xf numFmtId="0" fontId="33" fillId="0" borderId="13" xfId="0" applyFont="1" applyBorder="1" applyAlignment="1">
      <alignment horizontal="center" vertical="center" wrapText="1"/>
    </xf>
    <xf numFmtId="0" fontId="33" fillId="0" borderId="12" xfId="0" applyFont="1" applyBorder="1" applyAlignment="1">
      <alignment horizontal="center" vertical="center" wrapText="1"/>
    </xf>
    <xf numFmtId="0" fontId="31" fillId="22" borderId="21" xfId="0" applyFont="1" applyFill="1" applyBorder="1" applyAlignment="1">
      <alignment horizontal="center"/>
    </xf>
    <xf numFmtId="0" fontId="31" fillId="22" borderId="19" xfId="0" applyFont="1" applyFill="1" applyBorder="1" applyAlignment="1">
      <alignment horizontal="center"/>
    </xf>
    <xf numFmtId="0" fontId="31" fillId="22" borderId="10" xfId="0" applyFont="1" applyFill="1" applyBorder="1" applyAlignment="1">
      <alignment horizontal="center"/>
    </xf>
    <xf numFmtId="0" fontId="32" fillId="19" borderId="20" xfId="0" applyFont="1" applyFill="1" applyBorder="1" applyAlignment="1">
      <alignment horizontal="center" vertical="center" wrapText="1"/>
    </xf>
    <xf numFmtId="0" fontId="32" fillId="19" borderId="11" xfId="0" applyFont="1" applyFill="1" applyBorder="1" applyAlignment="1">
      <alignment horizontal="center" vertical="center" wrapText="1"/>
    </xf>
    <xf numFmtId="0" fontId="33" fillId="19" borderId="20" xfId="0" applyFont="1" applyFill="1" applyBorder="1" applyAlignment="1">
      <alignment horizontal="center" vertical="center"/>
    </xf>
    <xf numFmtId="0" fontId="33" fillId="19" borderId="11" xfId="0" applyFont="1" applyFill="1" applyBorder="1" applyAlignment="1">
      <alignment horizontal="center" vertical="center"/>
    </xf>
    <xf numFmtId="0" fontId="33" fillId="19" borderId="20" xfId="0" applyFont="1" applyFill="1" applyBorder="1" applyAlignment="1">
      <alignment horizontal="center" vertical="center" wrapText="1"/>
    </xf>
    <xf numFmtId="0" fontId="33" fillId="19" borderId="11" xfId="0" applyFont="1" applyFill="1" applyBorder="1" applyAlignment="1">
      <alignment horizontal="center" vertical="center" wrapText="1"/>
    </xf>
    <xf numFmtId="0" fontId="2" fillId="23" borderId="1" xfId="0" applyFont="1" applyFill="1" applyBorder="1" applyAlignment="1">
      <alignment horizontal="center"/>
    </xf>
    <xf numFmtId="0" fontId="2" fillId="17" borderId="1" xfId="0" applyFont="1" applyFill="1" applyBorder="1" applyAlignment="1">
      <alignment horizontal="center"/>
    </xf>
    <xf numFmtId="0" fontId="2" fillId="17" borderId="24" xfId="0" applyFont="1" applyFill="1" applyBorder="1" applyAlignment="1">
      <alignment horizontal="center"/>
    </xf>
    <xf numFmtId="0" fontId="2" fillId="17" borderId="25" xfId="0" applyFont="1" applyFill="1" applyBorder="1" applyAlignment="1">
      <alignment horizontal="center" vertical="center"/>
    </xf>
    <xf numFmtId="0" fontId="2" fillId="17" borderId="38" xfId="0" applyFont="1" applyFill="1" applyBorder="1" applyAlignment="1">
      <alignment horizontal="center" vertical="center"/>
    </xf>
    <xf numFmtId="0" fontId="2" fillId="4" borderId="25" xfId="0" applyFont="1" applyFill="1" applyBorder="1" applyAlignment="1">
      <alignment horizontal="center" vertical="center"/>
    </xf>
    <xf numFmtId="0" fontId="2" fillId="4" borderId="38" xfId="0" applyFont="1" applyFill="1" applyBorder="1" applyAlignment="1">
      <alignment horizontal="center" vertical="center"/>
    </xf>
    <xf numFmtId="0" fontId="2" fillId="4" borderId="22" xfId="0" applyFont="1" applyFill="1" applyBorder="1" applyAlignment="1">
      <alignment horizontal="center" vertical="center"/>
    </xf>
    <xf numFmtId="0" fontId="13" fillId="0" borderId="0" xfId="0" applyFont="1" applyAlignment="1">
      <alignment horizontal="center" vertical="center" wrapText="1"/>
    </xf>
    <xf numFmtId="0" fontId="16" fillId="11" borderId="1" xfId="4" applyFont="1" applyBorder="1" applyAlignment="1">
      <alignment horizontal="center" vertical="center"/>
    </xf>
    <xf numFmtId="0" fontId="13" fillId="0" borderId="0" xfId="0" applyFont="1" applyAlignment="1">
      <alignment horizontal="center" vertical="center"/>
    </xf>
    <xf numFmtId="0" fontId="21" fillId="0" borderId="0" xfId="0" applyFont="1" applyAlignment="1">
      <alignment horizontal="right" vertical="center"/>
    </xf>
    <xf numFmtId="0" fontId="0" fillId="5" borderId="6" xfId="0" applyFill="1" applyBorder="1" applyAlignment="1">
      <alignment horizontal="center"/>
    </xf>
    <xf numFmtId="0" fontId="0" fillId="5" borderId="7" xfId="0" applyFill="1" applyBorder="1" applyAlignment="1">
      <alignment horizontal="center"/>
    </xf>
    <xf numFmtId="0" fontId="0" fillId="5" borderId="8" xfId="0" applyFill="1" applyBorder="1" applyAlignment="1">
      <alignment horizontal="center"/>
    </xf>
    <xf numFmtId="0" fontId="0" fillId="4" borderId="16" xfId="0" applyFill="1" applyBorder="1" applyAlignment="1">
      <alignment horizontal="center"/>
    </xf>
    <xf numFmtId="0" fontId="0" fillId="4" borderId="0" xfId="0" applyFill="1" applyBorder="1" applyAlignment="1">
      <alignment horizontal="center"/>
    </xf>
    <xf numFmtId="0" fontId="0" fillId="0" borderId="15" xfId="0" applyBorder="1" applyAlignment="1">
      <alignment horizontal="left" vertical="top" wrapText="1"/>
    </xf>
    <xf numFmtId="0" fontId="0" fillId="0" borderId="15" xfId="0" applyBorder="1" applyAlignment="1">
      <alignment horizontal="left" vertical="top"/>
    </xf>
    <xf numFmtId="0" fontId="0" fillId="0" borderId="0" xfId="0" applyAlignment="1">
      <alignment horizontal="left" vertical="top"/>
    </xf>
    <xf numFmtId="0" fontId="19" fillId="28" borderId="0" xfId="0" applyFont="1" applyFill="1" applyAlignment="1">
      <alignment horizontal="center" vertical="center"/>
    </xf>
    <xf numFmtId="0" fontId="19" fillId="28" borderId="53" xfId="0" applyFont="1" applyFill="1" applyBorder="1" applyAlignment="1">
      <alignment horizontal="center" vertical="center"/>
    </xf>
    <xf numFmtId="0" fontId="19" fillId="28" borderId="13" xfId="0" applyFont="1" applyFill="1" applyBorder="1" applyAlignment="1">
      <alignment horizontal="center" vertical="center"/>
    </xf>
    <xf numFmtId="0" fontId="19" fillId="28" borderId="56" xfId="0" applyFont="1" applyFill="1" applyBorder="1" applyAlignment="1">
      <alignment horizontal="center" vertical="center"/>
    </xf>
    <xf numFmtId="0" fontId="19" fillId="0" borderId="21" xfId="0" applyFont="1" applyBorder="1" applyAlignment="1">
      <alignment horizontal="center" vertical="center" wrapText="1"/>
    </xf>
    <xf numFmtId="0" fontId="19" fillId="0" borderId="58" xfId="0" applyFont="1" applyBorder="1" applyAlignment="1">
      <alignment horizontal="center" vertical="center" wrapText="1"/>
    </xf>
    <xf numFmtId="0" fontId="35" fillId="0" borderId="54" xfId="0" applyFont="1" applyBorder="1" applyAlignment="1">
      <alignment vertical="center"/>
    </xf>
    <xf numFmtId="0" fontId="35" fillId="0" borderId="57" xfId="0" applyFont="1" applyBorder="1" applyAlignment="1">
      <alignment vertical="center"/>
    </xf>
    <xf numFmtId="0" fontId="18" fillId="24" borderId="14" xfId="0" applyFont="1" applyFill="1" applyBorder="1" applyAlignment="1">
      <alignment horizontal="center" vertical="center"/>
    </xf>
    <xf numFmtId="0" fontId="18" fillId="24" borderId="42" xfId="0" applyFont="1" applyFill="1" applyBorder="1" applyAlignment="1">
      <alignment horizontal="center" vertical="center"/>
    </xf>
    <xf numFmtId="0" fontId="18" fillId="24" borderId="44" xfId="0" applyFont="1" applyFill="1" applyBorder="1" applyAlignment="1">
      <alignment horizontal="center" vertical="center"/>
    </xf>
    <xf numFmtId="0" fontId="18" fillId="24" borderId="45" xfId="0" applyFont="1" applyFill="1" applyBorder="1" applyAlignment="1">
      <alignment horizontal="center" vertical="center"/>
    </xf>
    <xf numFmtId="0" fontId="18" fillId="24" borderId="43" xfId="0" applyFont="1" applyFill="1" applyBorder="1" applyAlignment="1">
      <alignment horizontal="center" vertical="center" wrapText="1"/>
    </xf>
    <xf numFmtId="0" fontId="18" fillId="24" borderId="15" xfId="0" applyFont="1" applyFill="1" applyBorder="1" applyAlignment="1">
      <alignment horizontal="center" vertical="center" wrapText="1"/>
    </xf>
    <xf numFmtId="0" fontId="18" fillId="24" borderId="42" xfId="0" applyFont="1" applyFill="1" applyBorder="1" applyAlignment="1">
      <alignment horizontal="center" vertical="center" wrapText="1"/>
    </xf>
    <xf numFmtId="0" fontId="18" fillId="24" borderId="46" xfId="0" applyFont="1" applyFill="1" applyBorder="1" applyAlignment="1">
      <alignment horizontal="center" vertical="center" wrapText="1"/>
    </xf>
    <xf numFmtId="0" fontId="18" fillId="24" borderId="47" xfId="0" applyFont="1" applyFill="1" applyBorder="1" applyAlignment="1">
      <alignment horizontal="center" vertical="center" wrapText="1"/>
    </xf>
    <xf numFmtId="0" fontId="18" fillId="24" borderId="45" xfId="0" applyFont="1" applyFill="1" applyBorder="1" applyAlignment="1">
      <alignment horizontal="center" vertical="center" wrapText="1"/>
    </xf>
    <xf numFmtId="0" fontId="19" fillId="0" borderId="48" xfId="0" applyFont="1" applyBorder="1" applyAlignment="1">
      <alignment horizontal="center" vertical="center" wrapText="1"/>
    </xf>
    <xf numFmtId="0" fontId="19" fillId="0" borderId="49" xfId="0" applyFont="1" applyBorder="1" applyAlignment="1">
      <alignment horizontal="center" vertical="center" wrapText="1"/>
    </xf>
    <xf numFmtId="0" fontId="19" fillId="0" borderId="44" xfId="0" applyFont="1" applyBorder="1" applyAlignment="1">
      <alignment horizontal="center" vertical="center" wrapText="1"/>
    </xf>
    <xf numFmtId="0" fontId="19" fillId="0" borderId="45" xfId="0" applyFont="1" applyBorder="1" applyAlignment="1">
      <alignment horizontal="center" vertical="center" wrapText="1"/>
    </xf>
    <xf numFmtId="0" fontId="19" fillId="28" borderId="14" xfId="0" applyFont="1" applyFill="1" applyBorder="1" applyAlignment="1">
      <alignment horizontal="center" vertical="center"/>
    </xf>
    <xf numFmtId="0" fontId="19" fillId="28" borderId="15" xfId="0" applyFont="1" applyFill="1" applyBorder="1" applyAlignment="1">
      <alignment horizontal="center" vertical="center"/>
    </xf>
    <xf numFmtId="0" fontId="19" fillId="28" borderId="17" xfId="0" applyFont="1" applyFill="1" applyBorder="1" applyAlignment="1">
      <alignment horizontal="center" vertical="center"/>
    </xf>
    <xf numFmtId="0" fontId="19" fillId="0" borderId="20" xfId="0" applyFont="1" applyBorder="1" applyAlignment="1">
      <alignment horizontal="center" vertical="center" wrapText="1"/>
    </xf>
    <xf numFmtId="0" fontId="19" fillId="0" borderId="51" xfId="0" applyFont="1" applyBorder="1" applyAlignment="1">
      <alignment horizontal="center" vertical="center" wrapText="1"/>
    </xf>
    <xf numFmtId="0" fontId="19" fillId="0" borderId="52" xfId="0" applyFont="1" applyBorder="1" applyAlignment="1">
      <alignment horizontal="center" vertical="center" wrapText="1"/>
    </xf>
    <xf numFmtId="0" fontId="33" fillId="28" borderId="16" xfId="0" applyFont="1" applyFill="1" applyBorder="1" applyAlignment="1">
      <alignment horizontal="center" vertical="center"/>
    </xf>
    <xf numFmtId="0" fontId="33" fillId="28" borderId="53" xfId="0" applyFont="1" applyFill="1" applyBorder="1" applyAlignment="1">
      <alignment horizontal="center" vertical="center"/>
    </xf>
    <xf numFmtId="0" fontId="33" fillId="28" borderId="17" xfId="0" applyFont="1" applyFill="1" applyBorder="1" applyAlignment="1">
      <alignment horizontal="center" vertical="center"/>
    </xf>
    <xf numFmtId="0" fontId="33" fillId="28" borderId="56" xfId="0" applyFont="1" applyFill="1" applyBorder="1" applyAlignment="1">
      <alignment horizontal="center" vertical="center"/>
    </xf>
    <xf numFmtId="0" fontId="33" fillId="0" borderId="21" xfId="0" applyFont="1" applyBorder="1" applyAlignment="1">
      <alignment horizontal="center" vertical="center" wrapText="1"/>
    </xf>
    <xf numFmtId="0" fontId="33" fillId="0" borderId="10" xfId="0" applyFont="1" applyBorder="1" applyAlignment="1">
      <alignment horizontal="center" vertical="center" wrapText="1"/>
    </xf>
    <xf numFmtId="0" fontId="0" fillId="0" borderId="54" xfId="0" applyBorder="1" applyAlignment="1">
      <alignment vertical="center"/>
    </xf>
    <xf numFmtId="0" fontId="0" fillId="0" borderId="55" xfId="0" applyBorder="1" applyAlignment="1">
      <alignment vertical="center"/>
    </xf>
    <xf numFmtId="0" fontId="32" fillId="24" borderId="14" xfId="0" applyFont="1" applyFill="1" applyBorder="1" applyAlignment="1">
      <alignment horizontal="center" vertical="center"/>
    </xf>
    <xf numFmtId="0" fontId="32" fillId="24" borderId="42" xfId="0" applyFont="1" applyFill="1" applyBorder="1" applyAlignment="1">
      <alignment horizontal="center" vertical="center"/>
    </xf>
    <xf numFmtId="0" fontId="32" fillId="24" borderId="44" xfId="0" applyFont="1" applyFill="1" applyBorder="1" applyAlignment="1">
      <alignment horizontal="center" vertical="center"/>
    </xf>
    <xf numFmtId="0" fontId="32" fillId="24" borderId="45" xfId="0" applyFont="1" applyFill="1" applyBorder="1" applyAlignment="1">
      <alignment horizontal="center" vertical="center"/>
    </xf>
    <xf numFmtId="0" fontId="32" fillId="24" borderId="43" xfId="0" applyFont="1" applyFill="1" applyBorder="1" applyAlignment="1">
      <alignment horizontal="center" vertical="center" wrapText="1"/>
    </xf>
    <xf numFmtId="0" fontId="32" fillId="24" borderId="15" xfId="0" applyFont="1" applyFill="1" applyBorder="1" applyAlignment="1">
      <alignment horizontal="center" vertical="center" wrapText="1"/>
    </xf>
    <xf numFmtId="0" fontId="32" fillId="24" borderId="42" xfId="0" applyFont="1" applyFill="1" applyBorder="1" applyAlignment="1">
      <alignment horizontal="center" vertical="center" wrapText="1"/>
    </xf>
    <xf numFmtId="0" fontId="32" fillId="24" borderId="46" xfId="0" applyFont="1" applyFill="1" applyBorder="1" applyAlignment="1">
      <alignment horizontal="center" vertical="center" wrapText="1"/>
    </xf>
    <xf numFmtId="0" fontId="32" fillId="24" borderId="47" xfId="0" applyFont="1" applyFill="1" applyBorder="1" applyAlignment="1">
      <alignment horizontal="center" vertical="center" wrapText="1"/>
    </xf>
    <xf numFmtId="0" fontId="32" fillId="24" borderId="45" xfId="0" applyFont="1" applyFill="1" applyBorder="1" applyAlignment="1">
      <alignment horizontal="center" vertical="center" wrapText="1"/>
    </xf>
    <xf numFmtId="0" fontId="33" fillId="0" borderId="48" xfId="0" applyFont="1" applyBorder="1" applyAlignment="1">
      <alignment horizontal="center" vertical="center" wrapText="1"/>
    </xf>
    <xf numFmtId="0" fontId="33" fillId="0" borderId="49" xfId="0" applyFont="1" applyBorder="1" applyAlignment="1">
      <alignment horizontal="center" vertical="center" wrapText="1"/>
    </xf>
    <xf numFmtId="0" fontId="33" fillId="0" borderId="44" xfId="0" applyFont="1" applyBorder="1" applyAlignment="1">
      <alignment horizontal="center" vertical="center" wrapText="1"/>
    </xf>
    <xf numFmtId="0" fontId="33" fillId="0" borderId="45" xfId="0" applyFont="1" applyBorder="1" applyAlignment="1">
      <alignment horizontal="center" vertical="center" wrapText="1"/>
    </xf>
    <xf numFmtId="0" fontId="33" fillId="28" borderId="14" xfId="0" applyFont="1" applyFill="1" applyBorder="1" applyAlignment="1">
      <alignment horizontal="center" vertical="center"/>
    </xf>
    <xf numFmtId="0" fontId="33" fillId="28" borderId="15" xfId="0" applyFont="1" applyFill="1" applyBorder="1" applyAlignment="1">
      <alignment horizontal="center" vertical="center"/>
    </xf>
    <xf numFmtId="0" fontId="33" fillId="28" borderId="13" xfId="0" applyFont="1" applyFill="1" applyBorder="1" applyAlignment="1">
      <alignment horizontal="center" vertical="center"/>
    </xf>
    <xf numFmtId="0" fontId="33" fillId="0" borderId="20" xfId="0" applyFont="1" applyBorder="1" applyAlignment="1">
      <alignment horizontal="center" vertical="center" wrapText="1"/>
    </xf>
    <xf numFmtId="0" fontId="33" fillId="0" borderId="51" xfId="0" applyFont="1" applyBorder="1" applyAlignment="1">
      <alignment horizontal="center" vertical="center" wrapText="1"/>
    </xf>
    <xf numFmtId="0" fontId="33" fillId="0" borderId="52" xfId="0" applyFont="1" applyBorder="1" applyAlignment="1">
      <alignment horizontal="center" vertical="center" wrapText="1"/>
    </xf>
    <xf numFmtId="0" fontId="0" fillId="0" borderId="15" xfId="0" applyBorder="1" applyAlignment="1">
      <alignment horizontal="left" vertical="center" wrapText="1"/>
    </xf>
    <xf numFmtId="0" fontId="0" fillId="0" borderId="15" xfId="0" applyBorder="1" applyAlignment="1">
      <alignment horizontal="left" vertical="center"/>
    </xf>
    <xf numFmtId="0" fontId="0" fillId="0" borderId="0" xfId="0" applyAlignment="1">
      <alignment horizontal="left" vertical="center"/>
    </xf>
    <xf numFmtId="1" fontId="0" fillId="0" borderId="54" xfId="0" applyNumberFormat="1" applyBorder="1" applyAlignment="1">
      <alignment vertical="center"/>
    </xf>
    <xf numFmtId="1" fontId="0" fillId="0" borderId="55" xfId="0" applyNumberFormat="1" applyBorder="1" applyAlignment="1">
      <alignment vertical="center"/>
    </xf>
    <xf numFmtId="0" fontId="0" fillId="27" borderId="14" xfId="0" applyFill="1" applyBorder="1" applyAlignment="1">
      <alignment horizontal="center" vertical="center"/>
    </xf>
    <xf numFmtId="0" fontId="0" fillId="27" borderId="15" xfId="0" applyFill="1" applyBorder="1" applyAlignment="1">
      <alignment horizontal="center" vertical="center"/>
    </xf>
    <xf numFmtId="0" fontId="0" fillId="27" borderId="16" xfId="0" applyFill="1" applyBorder="1" applyAlignment="1">
      <alignment horizontal="center" vertical="center"/>
    </xf>
    <xf numFmtId="0" fontId="0" fillId="27" borderId="0" xfId="0" applyFill="1" applyBorder="1" applyAlignment="1">
      <alignment horizontal="center" vertical="center"/>
    </xf>
    <xf numFmtId="0" fontId="0" fillId="27" borderId="17" xfId="0" applyFill="1" applyBorder="1" applyAlignment="1">
      <alignment horizontal="center" vertical="center"/>
    </xf>
    <xf numFmtId="0" fontId="0" fillId="27" borderId="13" xfId="0" applyFill="1" applyBorder="1" applyAlignment="1">
      <alignment horizontal="center" vertical="center"/>
    </xf>
    <xf numFmtId="0" fontId="38" fillId="17" borderId="25" xfId="0" applyFont="1" applyFill="1" applyBorder="1" applyAlignment="1">
      <alignment horizontal="center" vertical="center"/>
    </xf>
    <xf numFmtId="0" fontId="38" fillId="17" borderId="38" xfId="0" applyFont="1" applyFill="1" applyBorder="1" applyAlignment="1">
      <alignment horizontal="center" vertical="center"/>
    </xf>
    <xf numFmtId="0" fontId="38" fillId="17" borderId="22" xfId="0" applyFont="1" applyFill="1" applyBorder="1" applyAlignment="1">
      <alignment horizontal="center" vertical="center"/>
    </xf>
    <xf numFmtId="0" fontId="39" fillId="6" borderId="25" xfId="0" applyFont="1" applyFill="1" applyBorder="1" applyAlignment="1">
      <alignment horizontal="center" vertical="center"/>
    </xf>
    <xf numFmtId="0" fontId="39" fillId="6" borderId="22" xfId="0" applyFont="1" applyFill="1" applyBorder="1" applyAlignment="1">
      <alignment horizontal="center" vertical="center"/>
    </xf>
    <xf numFmtId="0" fontId="39" fillId="6" borderId="38" xfId="0" applyFont="1" applyFill="1" applyBorder="1" applyAlignment="1">
      <alignment horizontal="center" vertical="center"/>
    </xf>
    <xf numFmtId="1" fontId="0" fillId="0" borderId="1" xfId="0" applyNumberFormat="1" applyBorder="1" applyAlignment="1">
      <alignment horizontal="center"/>
    </xf>
    <xf numFmtId="10" fontId="0" fillId="0" borderId="1" xfId="0" applyNumberFormat="1" applyBorder="1" applyAlignment="1">
      <alignment horizontal="center"/>
    </xf>
    <xf numFmtId="1" fontId="0" fillId="0" borderId="34" xfId="0" applyNumberFormat="1" applyBorder="1" applyAlignment="1">
      <alignment horizontal="center"/>
    </xf>
    <xf numFmtId="1" fontId="0" fillId="0" borderId="63" xfId="0" applyNumberFormat="1" applyBorder="1" applyAlignment="1">
      <alignment horizontal="center"/>
    </xf>
    <xf numFmtId="1" fontId="0" fillId="0" borderId="61" xfId="0" applyNumberFormat="1" applyBorder="1" applyAlignment="1">
      <alignment horizontal="center"/>
    </xf>
    <xf numFmtId="1" fontId="0" fillId="0" borderId="23" xfId="0" applyNumberFormat="1" applyBorder="1" applyAlignment="1">
      <alignment horizontal="center"/>
    </xf>
    <xf numFmtId="1" fontId="0" fillId="0" borderId="0" xfId="0" applyNumberFormat="1" applyBorder="1" applyAlignment="1">
      <alignment horizontal="center"/>
    </xf>
    <xf numFmtId="1" fontId="0" fillId="0" borderId="39" xfId="0" applyNumberFormat="1" applyBorder="1" applyAlignment="1">
      <alignment horizontal="center"/>
    </xf>
    <xf numFmtId="1" fontId="0" fillId="0" borderId="35" xfId="0" applyNumberFormat="1" applyBorder="1" applyAlignment="1">
      <alignment horizontal="center"/>
    </xf>
    <xf numFmtId="1" fontId="0" fillId="0" borderId="37" xfId="0" applyNumberFormat="1" applyBorder="1" applyAlignment="1">
      <alignment horizontal="center"/>
    </xf>
    <xf numFmtId="1" fontId="0" fillId="0" borderId="60" xfId="0" applyNumberFormat="1" applyBorder="1" applyAlignment="1">
      <alignment horizontal="center"/>
    </xf>
    <xf numFmtId="2" fontId="0" fillId="0" borderId="25" xfId="0" applyNumberFormat="1" applyBorder="1" applyAlignment="1">
      <alignment horizontal="center"/>
    </xf>
    <xf numFmtId="2" fontId="0" fillId="0" borderId="38" xfId="0" applyNumberFormat="1" applyBorder="1" applyAlignment="1">
      <alignment horizontal="center"/>
    </xf>
    <xf numFmtId="2" fontId="0" fillId="0" borderId="22" xfId="0" applyNumberFormat="1" applyBorder="1" applyAlignment="1">
      <alignment horizontal="center"/>
    </xf>
    <xf numFmtId="171" fontId="0" fillId="0" borderId="1" xfId="0" applyNumberFormat="1" applyBorder="1" applyAlignment="1">
      <alignment horizontal="center"/>
    </xf>
    <xf numFmtId="0" fontId="2" fillId="33" borderId="1" xfId="0" applyFont="1" applyFill="1" applyBorder="1"/>
    <xf numFmtId="0" fontId="2" fillId="33" borderId="1" xfId="0" applyFont="1" applyFill="1" applyBorder="1" applyAlignment="1">
      <alignment horizontal="center"/>
    </xf>
  </cellXfs>
  <cellStyles count="15">
    <cellStyle name="Accent1" xfId="4" builtinId="29"/>
    <cellStyle name="Comma" xfId="2" builtinId="3"/>
    <cellStyle name="Comma 2" xfId="5" xr:uid="{B7A75283-3F15-42B7-B8CB-BE075E266E2B}"/>
    <cellStyle name="Comma 3" xfId="6" xr:uid="{8C7462D3-380D-4849-B264-4FC167D4102D}"/>
    <cellStyle name="Heading 1 2" xfId="14" xr:uid="{81822530-579E-4B46-9F95-C38BE6AC521A}"/>
    <cellStyle name="Hyperlink" xfId="3" builtinId="8"/>
    <cellStyle name="Normal" xfId="0" builtinId="0"/>
    <cellStyle name="Normal 2" xfId="10" xr:uid="{ED4FCB83-D49A-4AF3-821F-CBE0D27BCD33}"/>
    <cellStyle name="Normal 2 2" xfId="7" xr:uid="{E09E753C-9F3B-403C-ADC4-4D95A127E9EB}"/>
    <cellStyle name="Normal 3" xfId="8" xr:uid="{627A28B3-0831-4297-9BCA-00DEEBA596DA}"/>
    <cellStyle name="Normal 3 3" xfId="13" xr:uid="{31EAE290-56FC-4D39-BD0A-23B9F2AA62A3}"/>
    <cellStyle name="Normal 3 3 2 2" xfId="11" xr:uid="{598FEC90-A8A8-4942-AD1C-F2BE960F1385}"/>
    <cellStyle name="Normal 8" xfId="9" xr:uid="{9B990EAE-6A5A-4025-8AE3-91A763184499}"/>
    <cellStyle name="Normal 9" xfId="12" xr:uid="{B88EFC82-3DB5-4E95-AA21-B83F402CBD8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India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'India - Epoxy Resin'!$B$1</c:f>
              <c:strCache>
                <c:ptCount val="1"/>
                <c:pt idx="0">
                  <c:v>Liquid Epoxy Resin Ex-Mumbai EEW 185</c:v>
                </c:pt>
              </c:strCache>
            </c:strRef>
          </c:tx>
          <c:spPr>
            <a:ln w="28575" cap="rnd">
              <a:solidFill>
                <a:schemeClr val="accent1"/>
              </a:solidFill>
              <a:round/>
            </a:ln>
            <a:effectLst/>
          </c:spPr>
          <c:marker>
            <c:symbol val="none"/>
          </c:marker>
          <c:cat>
            <c:strRef>
              <c:f>'India - Epoxy Resin'!$A$2:$A$16</c:f>
              <c:strCache>
                <c:ptCount val="15"/>
                <c:pt idx="0">
                  <c:v>FY2016</c:v>
                </c:pt>
                <c:pt idx="1">
                  <c:v>FY2017</c:v>
                </c:pt>
                <c:pt idx="2">
                  <c:v>FY2018</c:v>
                </c:pt>
                <c:pt idx="3">
                  <c:v>FY2019</c:v>
                </c:pt>
                <c:pt idx="4">
                  <c:v>FY2020</c:v>
                </c:pt>
                <c:pt idx="5">
                  <c:v>FY2021</c:v>
                </c:pt>
                <c:pt idx="6">
                  <c:v>FY2022</c:v>
                </c:pt>
                <c:pt idx="7">
                  <c:v>FY2023</c:v>
                </c:pt>
                <c:pt idx="8">
                  <c:v>FY2024</c:v>
                </c:pt>
                <c:pt idx="9">
                  <c:v>FY2025</c:v>
                </c:pt>
                <c:pt idx="10">
                  <c:v>FY2026</c:v>
                </c:pt>
                <c:pt idx="11">
                  <c:v>FY2027</c:v>
                </c:pt>
                <c:pt idx="12">
                  <c:v>FY2028</c:v>
                </c:pt>
                <c:pt idx="13">
                  <c:v>FY2029</c:v>
                </c:pt>
                <c:pt idx="14">
                  <c:v>FY2030</c:v>
                </c:pt>
              </c:strCache>
            </c:strRef>
          </c:cat>
          <c:val>
            <c:numRef>
              <c:f>'India - Epoxy Resin'!$B$2:$B$16</c:f>
              <c:numCache>
                <c:formatCode>0</c:formatCode>
                <c:ptCount val="15"/>
                <c:pt idx="0">
                  <c:v>2500</c:v>
                </c:pt>
                <c:pt idx="1">
                  <c:v>2915</c:v>
                </c:pt>
                <c:pt idx="2">
                  <c:v>3120</c:v>
                </c:pt>
                <c:pt idx="3">
                  <c:v>3202</c:v>
                </c:pt>
                <c:pt idx="4">
                  <c:v>2805</c:v>
                </c:pt>
                <c:pt idx="5">
                  <c:v>3980</c:v>
                </c:pt>
                <c:pt idx="6">
                  <c:v>4340</c:v>
                </c:pt>
                <c:pt idx="7">
                  <c:v>4401</c:v>
                </c:pt>
                <c:pt idx="8">
                  <c:v>4422.5649000000003</c:v>
                </c:pt>
                <c:pt idx="9">
                  <c:v>4441.1396725800005</c:v>
                </c:pt>
                <c:pt idx="10">
                  <c:v>4460.6806871393528</c:v>
                </c:pt>
                <c:pt idx="11">
                  <c:v>4483.4301586437632</c:v>
                </c:pt>
                <c:pt idx="12">
                  <c:v>4504.5022803893889</c:v>
                </c:pt>
                <c:pt idx="13">
                  <c:v>4529.2770429315306</c:v>
                </c:pt>
                <c:pt idx="14">
                  <c:v>4551.4705004418947</c:v>
                </c:pt>
              </c:numCache>
            </c:numRef>
          </c:val>
          <c:smooth val="0"/>
          <c:extLst>
            <c:ext xmlns:c16="http://schemas.microsoft.com/office/drawing/2014/chart" uri="{C3380CC4-5D6E-409C-BE32-E72D297353CC}">
              <c16:uniqueId val="{00000000-A0CB-4039-8ADC-C600E7D96D4A}"/>
            </c:ext>
          </c:extLst>
        </c:ser>
        <c:ser>
          <c:idx val="1"/>
          <c:order val="1"/>
          <c:tx>
            <c:strRef>
              <c:f>'India - Epoxy Resin'!$C$1</c:f>
              <c:strCache>
                <c:ptCount val="1"/>
                <c:pt idx="0">
                  <c:v>Solid epoxy Epoxy Resin EEW 860 Ex-Mumbai</c:v>
                </c:pt>
              </c:strCache>
            </c:strRef>
          </c:tx>
          <c:spPr>
            <a:ln w="28575" cap="rnd">
              <a:solidFill>
                <a:schemeClr val="accent2"/>
              </a:solidFill>
              <a:round/>
            </a:ln>
            <a:effectLst/>
          </c:spPr>
          <c:marker>
            <c:symbol val="none"/>
          </c:marker>
          <c:cat>
            <c:strRef>
              <c:f>'India - Epoxy Resin'!$A$2:$A$16</c:f>
              <c:strCache>
                <c:ptCount val="15"/>
                <c:pt idx="0">
                  <c:v>FY2016</c:v>
                </c:pt>
                <c:pt idx="1">
                  <c:v>FY2017</c:v>
                </c:pt>
                <c:pt idx="2">
                  <c:v>FY2018</c:v>
                </c:pt>
                <c:pt idx="3">
                  <c:v>FY2019</c:v>
                </c:pt>
                <c:pt idx="4">
                  <c:v>FY2020</c:v>
                </c:pt>
                <c:pt idx="5">
                  <c:v>FY2021</c:v>
                </c:pt>
                <c:pt idx="6">
                  <c:v>FY2022</c:v>
                </c:pt>
                <c:pt idx="7">
                  <c:v>FY2023</c:v>
                </c:pt>
                <c:pt idx="8">
                  <c:v>FY2024</c:v>
                </c:pt>
                <c:pt idx="9">
                  <c:v>FY2025</c:v>
                </c:pt>
                <c:pt idx="10">
                  <c:v>FY2026</c:v>
                </c:pt>
                <c:pt idx="11">
                  <c:v>FY2027</c:v>
                </c:pt>
                <c:pt idx="12">
                  <c:v>FY2028</c:v>
                </c:pt>
                <c:pt idx="13">
                  <c:v>FY2029</c:v>
                </c:pt>
                <c:pt idx="14">
                  <c:v>FY2030</c:v>
                </c:pt>
              </c:strCache>
            </c:strRef>
          </c:cat>
          <c:val>
            <c:numRef>
              <c:f>'India - Epoxy Resin'!$C$2:$C$16</c:f>
              <c:numCache>
                <c:formatCode>0</c:formatCode>
                <c:ptCount val="15"/>
                <c:pt idx="0">
                  <c:v>2300</c:v>
                </c:pt>
                <c:pt idx="1">
                  <c:v>2681.8</c:v>
                </c:pt>
                <c:pt idx="2">
                  <c:v>2870.4</c:v>
                </c:pt>
                <c:pt idx="3">
                  <c:v>2945.84</c:v>
                </c:pt>
                <c:pt idx="4">
                  <c:v>2580.6</c:v>
                </c:pt>
                <c:pt idx="5">
                  <c:v>3450</c:v>
                </c:pt>
                <c:pt idx="6">
                  <c:v>4135</c:v>
                </c:pt>
                <c:pt idx="7">
                  <c:v>4149</c:v>
                </c:pt>
                <c:pt idx="8">
                  <c:v>4172.6493</c:v>
                </c:pt>
                <c:pt idx="9">
                  <c:v>4194.3470763599998</c:v>
                </c:pt>
                <c:pt idx="10">
                  <c:v>4219.0937241105239</c:v>
                </c:pt>
                <c:pt idx="11">
                  <c:v>4239.7672833586657</c:v>
                </c:pt>
                <c:pt idx="12">
                  <c:v>4262.6620266888021</c:v>
                </c:pt>
                <c:pt idx="13">
                  <c:v>4283.9753368222464</c:v>
                </c:pt>
                <c:pt idx="14">
                  <c:v>4308.3939962421327</c:v>
                </c:pt>
              </c:numCache>
            </c:numRef>
          </c:val>
          <c:smooth val="0"/>
          <c:extLst>
            <c:ext xmlns:c16="http://schemas.microsoft.com/office/drawing/2014/chart" uri="{C3380CC4-5D6E-409C-BE32-E72D297353CC}">
              <c16:uniqueId val="{00000001-A0CB-4039-8ADC-C600E7D96D4A}"/>
            </c:ext>
          </c:extLst>
        </c:ser>
        <c:ser>
          <c:idx val="2"/>
          <c:order val="2"/>
          <c:tx>
            <c:strRef>
              <c:f>'India - Epoxy Resin'!$D$1</c:f>
              <c:strCache>
                <c:ptCount val="1"/>
                <c:pt idx="0">
                  <c:v>Semi-Solid Epoxy Resin EEW 335 Ex-Mumbai</c:v>
                </c:pt>
              </c:strCache>
            </c:strRef>
          </c:tx>
          <c:spPr>
            <a:ln w="28575" cap="rnd">
              <a:solidFill>
                <a:schemeClr val="accent3"/>
              </a:solidFill>
              <a:round/>
            </a:ln>
            <a:effectLst/>
          </c:spPr>
          <c:marker>
            <c:symbol val="none"/>
          </c:marker>
          <c:cat>
            <c:strRef>
              <c:f>'India - Epoxy Resin'!$A$2:$A$16</c:f>
              <c:strCache>
                <c:ptCount val="15"/>
                <c:pt idx="0">
                  <c:v>FY2016</c:v>
                </c:pt>
                <c:pt idx="1">
                  <c:v>FY2017</c:v>
                </c:pt>
                <c:pt idx="2">
                  <c:v>FY2018</c:v>
                </c:pt>
                <c:pt idx="3">
                  <c:v>FY2019</c:v>
                </c:pt>
                <c:pt idx="4">
                  <c:v>FY2020</c:v>
                </c:pt>
                <c:pt idx="5">
                  <c:v>FY2021</c:v>
                </c:pt>
                <c:pt idx="6">
                  <c:v>FY2022</c:v>
                </c:pt>
                <c:pt idx="7">
                  <c:v>FY2023</c:v>
                </c:pt>
                <c:pt idx="8">
                  <c:v>FY2024</c:v>
                </c:pt>
                <c:pt idx="9">
                  <c:v>FY2025</c:v>
                </c:pt>
                <c:pt idx="10">
                  <c:v>FY2026</c:v>
                </c:pt>
                <c:pt idx="11">
                  <c:v>FY2027</c:v>
                </c:pt>
                <c:pt idx="12">
                  <c:v>FY2028</c:v>
                </c:pt>
                <c:pt idx="13">
                  <c:v>FY2029</c:v>
                </c:pt>
                <c:pt idx="14">
                  <c:v>FY2030</c:v>
                </c:pt>
              </c:strCache>
            </c:strRef>
          </c:cat>
          <c:val>
            <c:numRef>
              <c:f>'India - Epoxy Resin'!$D$2:$D$16</c:f>
              <c:numCache>
                <c:formatCode>0</c:formatCode>
                <c:ptCount val="15"/>
                <c:pt idx="0">
                  <c:v>2373.6</c:v>
                </c:pt>
                <c:pt idx="1">
                  <c:v>2767.6176</c:v>
                </c:pt>
                <c:pt idx="2">
                  <c:v>2962.2528000000002</c:v>
                </c:pt>
                <c:pt idx="3">
                  <c:v>3040.1068800000003</c:v>
                </c:pt>
                <c:pt idx="4">
                  <c:v>2663.1792</c:v>
                </c:pt>
                <c:pt idx="5">
                  <c:v>3050</c:v>
                </c:pt>
                <c:pt idx="6">
                  <c:v>4198</c:v>
                </c:pt>
                <c:pt idx="7">
                  <c:v>4223</c:v>
                </c:pt>
                <c:pt idx="8">
                  <c:v>4241.1589000000004</c:v>
                </c:pt>
                <c:pt idx="9">
                  <c:v>4268.3023169600001</c:v>
                </c:pt>
                <c:pt idx="10">
                  <c:v>4294.3389610934564</c:v>
                </c:pt>
                <c:pt idx="11">
                  <c:v>4318.3872592755797</c:v>
                </c:pt>
                <c:pt idx="12">
                  <c:v>4343.8657441053056</c:v>
                </c:pt>
                <c:pt idx="13">
                  <c:v>4364.2819131026008</c:v>
                </c:pt>
                <c:pt idx="14">
                  <c:v>4386.5397508594242</c:v>
                </c:pt>
              </c:numCache>
            </c:numRef>
          </c:val>
          <c:smooth val="0"/>
          <c:extLst>
            <c:ext xmlns:c16="http://schemas.microsoft.com/office/drawing/2014/chart" uri="{C3380CC4-5D6E-409C-BE32-E72D297353CC}">
              <c16:uniqueId val="{00000002-A0CB-4039-8ADC-C600E7D96D4A}"/>
            </c:ext>
          </c:extLst>
        </c:ser>
        <c:dLbls>
          <c:showLegendKey val="0"/>
          <c:showVal val="0"/>
          <c:showCatName val="0"/>
          <c:showSerName val="0"/>
          <c:showPercent val="0"/>
          <c:showBubbleSize val="0"/>
        </c:dLbls>
        <c:smooth val="0"/>
        <c:axId val="713368264"/>
        <c:axId val="713370560"/>
      </c:lineChart>
      <c:catAx>
        <c:axId val="713368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3370560"/>
        <c:crosses val="autoZero"/>
        <c:auto val="1"/>
        <c:lblAlgn val="ctr"/>
        <c:lblOffset val="100"/>
        <c:noMultiLvlLbl val="0"/>
      </c:catAx>
      <c:valAx>
        <c:axId val="71337056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33682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Raw</a:t>
            </a:r>
            <a:r>
              <a:rPr lang="en-IN" baseline="0"/>
              <a:t> Material Prices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[1]Sheet4!$C$79</c:f>
              <c:strCache>
                <c:ptCount val="1"/>
                <c:pt idx="0">
                  <c:v>Bisphenol A CFR JNPT</c:v>
                </c:pt>
              </c:strCache>
            </c:strRef>
          </c:tx>
          <c:spPr>
            <a:ln w="28575" cap="rnd">
              <a:solidFill>
                <a:schemeClr val="accent1"/>
              </a:solidFill>
              <a:round/>
            </a:ln>
            <a:effectLst/>
          </c:spPr>
          <c:marker>
            <c:symbol val="none"/>
          </c:marker>
          <c:cat>
            <c:multiLvlStrRef>
              <c:f>[1]Sheet4!$A$80:$B$139</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[1]Sheet4!$C$80:$C$139</c:f>
              <c:numCache>
                <c:formatCode>General</c:formatCode>
                <c:ptCount val="60"/>
                <c:pt idx="0">
                  <c:v>913.0544041450778</c:v>
                </c:pt>
                <c:pt idx="1">
                  <c:v>987.00772489409417</c:v>
                </c:pt>
                <c:pt idx="2">
                  <c:v>1117.52457727094</c:v>
                </c:pt>
                <c:pt idx="3">
                  <c:v>1215.7526041666667</c:v>
                </c:pt>
                <c:pt idx="4">
                  <c:v>1167.677658142665</c:v>
                </c:pt>
                <c:pt idx="5">
                  <c:v>1203.1596346131887</c:v>
                </c:pt>
                <c:pt idx="6">
                  <c:v>1185.1100047415837</c:v>
                </c:pt>
                <c:pt idx="7">
                  <c:v>1088.4660654959659</c:v>
                </c:pt>
                <c:pt idx="8">
                  <c:v>1027.2162321113508</c:v>
                </c:pt>
                <c:pt idx="9">
                  <c:v>994.10555264536401</c:v>
                </c:pt>
                <c:pt idx="10">
                  <c:v>1468.4495247880811</c:v>
                </c:pt>
                <c:pt idx="11">
                  <c:v>1300.7059579939992</c:v>
                </c:pt>
                <c:pt idx="12">
                  <c:v>1473.8604256922208</c:v>
                </c:pt>
                <c:pt idx="13">
                  <c:v>1461.3684012066367</c:v>
                </c:pt>
                <c:pt idx="14">
                  <c:v>1248.4952330508474</c:v>
                </c:pt>
                <c:pt idx="15">
                  <c:v>1063.5023277467412</c:v>
                </c:pt>
                <c:pt idx="16">
                  <c:v>973.37102922490476</c:v>
                </c:pt>
                <c:pt idx="17">
                  <c:v>1081.2665112665111</c:v>
                </c:pt>
                <c:pt idx="18">
                  <c:v>1135.3901270069496</c:v>
                </c:pt>
                <c:pt idx="19">
                  <c:v>1191.7731149778233</c:v>
                </c:pt>
                <c:pt idx="20">
                  <c:v>1252.6720588235294</c:v>
                </c:pt>
                <c:pt idx="21">
                  <c:v>1359.0586245772267</c:v>
                </c:pt>
                <c:pt idx="22">
                  <c:v>1324.34</c:v>
                </c:pt>
                <c:pt idx="23">
                  <c:v>1435.45</c:v>
                </c:pt>
                <c:pt idx="24">
                  <c:v>1367.34</c:v>
                </c:pt>
                <c:pt idx="25">
                  <c:v>1327.44</c:v>
                </c:pt>
                <c:pt idx="26">
                  <c:v>1398.26</c:v>
                </c:pt>
                <c:pt idx="27">
                  <c:v>1497.55</c:v>
                </c:pt>
                <c:pt idx="28">
                  <c:v>1536.76</c:v>
                </c:pt>
                <c:pt idx="29">
                  <c:v>1416.78</c:v>
                </c:pt>
                <c:pt idx="30">
                  <c:v>1384.35</c:v>
                </c:pt>
                <c:pt idx="31">
                  <c:v>1348.76</c:v>
                </c:pt>
                <c:pt idx="32">
                  <c:v>1279.98</c:v>
                </c:pt>
                <c:pt idx="33">
                  <c:v>1143.07</c:v>
                </c:pt>
                <c:pt idx="34">
                  <c:v>1154.6400000000001</c:v>
                </c:pt>
                <c:pt idx="35">
                  <c:v>1202.75</c:v>
                </c:pt>
                <c:pt idx="36">
                  <c:v>1213.0899999999999</c:v>
                </c:pt>
                <c:pt idx="37">
                  <c:v>1184.6500000000001</c:v>
                </c:pt>
                <c:pt idx="38">
                  <c:v>1179.6300000000001</c:v>
                </c:pt>
                <c:pt idx="39">
                  <c:v>1210.1500000000001</c:v>
                </c:pt>
                <c:pt idx="40">
                  <c:v>1206.8900000000001</c:v>
                </c:pt>
                <c:pt idx="41">
                  <c:v>1208.69</c:v>
                </c:pt>
                <c:pt idx="42">
                  <c:v>1233.8</c:v>
                </c:pt>
                <c:pt idx="43">
                  <c:v>1245.28</c:v>
                </c:pt>
                <c:pt idx="44">
                  <c:v>1269.25</c:v>
                </c:pt>
                <c:pt idx="45">
                  <c:v>1268.07</c:v>
                </c:pt>
                <c:pt idx="46">
                  <c:v>1282.32</c:v>
                </c:pt>
                <c:pt idx="47">
                  <c:v>1218.6300000000001</c:v>
                </c:pt>
                <c:pt idx="48">
                  <c:v>1173.0899999999999</c:v>
                </c:pt>
                <c:pt idx="49">
                  <c:v>1211.3800000000001</c:v>
                </c:pt>
                <c:pt idx="50">
                  <c:v>1236.1099999999999</c:v>
                </c:pt>
                <c:pt idx="51">
                  <c:v>1259.97</c:v>
                </c:pt>
                <c:pt idx="52">
                  <c:v>1257.45</c:v>
                </c:pt>
                <c:pt idx="53">
                  <c:v>1284.92</c:v>
                </c:pt>
                <c:pt idx="54">
                  <c:v>1271.49</c:v>
                </c:pt>
                <c:pt idx="55">
                  <c:v>1306.99</c:v>
                </c:pt>
                <c:pt idx="56">
                  <c:v>1351.3</c:v>
                </c:pt>
                <c:pt idx="57">
                  <c:v>1602.16</c:v>
                </c:pt>
                <c:pt idx="58">
                  <c:v>1874.93</c:v>
                </c:pt>
                <c:pt idx="59">
                  <c:v>2240.7199999999998</c:v>
                </c:pt>
              </c:numCache>
            </c:numRef>
          </c:val>
          <c:smooth val="0"/>
          <c:extLst>
            <c:ext xmlns:c16="http://schemas.microsoft.com/office/drawing/2014/chart" uri="{C3380CC4-5D6E-409C-BE32-E72D297353CC}">
              <c16:uniqueId val="{00000000-BED3-4F97-8D0F-70FE08A264D9}"/>
            </c:ext>
          </c:extLst>
        </c:ser>
        <c:ser>
          <c:idx val="1"/>
          <c:order val="1"/>
          <c:tx>
            <c:strRef>
              <c:f>[1]Sheet4!$D$79</c:f>
              <c:strCache>
                <c:ptCount val="1"/>
                <c:pt idx="0">
                  <c:v>Epichlorohydrin CFR JNPT</c:v>
                </c:pt>
              </c:strCache>
            </c:strRef>
          </c:tx>
          <c:spPr>
            <a:ln w="28575" cap="rnd">
              <a:solidFill>
                <a:schemeClr val="accent2"/>
              </a:solidFill>
              <a:round/>
            </a:ln>
            <a:effectLst/>
          </c:spPr>
          <c:marker>
            <c:symbol val="none"/>
          </c:marker>
          <c:cat>
            <c:multiLvlStrRef>
              <c:f>[1]Sheet4!$A$80:$B$139</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[1]Sheet4!$D$80:$D$139</c:f>
              <c:numCache>
                <c:formatCode>General</c:formatCode>
                <c:ptCount val="60"/>
                <c:pt idx="0">
                  <c:v>1027.0194552529183</c:v>
                </c:pt>
                <c:pt idx="1">
                  <c:v>1013.581225668394</c:v>
                </c:pt>
                <c:pt idx="2">
                  <c:v>1024.5950137867649</c:v>
                </c:pt>
                <c:pt idx="3">
                  <c:v>1011.6024847051759</c:v>
                </c:pt>
                <c:pt idx="4">
                  <c:v>993.44937284130162</c:v>
                </c:pt>
                <c:pt idx="5">
                  <c:v>1140.442794279428</c:v>
                </c:pt>
                <c:pt idx="6">
                  <c:v>957.26522222596623</c:v>
                </c:pt>
                <c:pt idx="7">
                  <c:v>966.31766005475242</c:v>
                </c:pt>
                <c:pt idx="8">
                  <c:v>1038.0427728613568</c:v>
                </c:pt>
                <c:pt idx="9">
                  <c:v>1041.1454102355808</c:v>
                </c:pt>
                <c:pt idx="10">
                  <c:v>1075.6663503838524</c:v>
                </c:pt>
                <c:pt idx="11">
                  <c:v>1207.0910290237466</c:v>
                </c:pt>
                <c:pt idx="12">
                  <c:v>1070.6653497351172</c:v>
                </c:pt>
                <c:pt idx="13">
                  <c:v>1064.4138613861387</c:v>
                </c:pt>
                <c:pt idx="14">
                  <c:v>1078.1075861195541</c:v>
                </c:pt>
                <c:pt idx="15">
                  <c:v>1085.2192638997651</c:v>
                </c:pt>
                <c:pt idx="16">
                  <c:v>1075.2119473066389</c:v>
                </c:pt>
                <c:pt idx="17">
                  <c:v>1077.3234599699506</c:v>
                </c:pt>
                <c:pt idx="18">
                  <c:v>1238.6600000000001</c:v>
                </c:pt>
                <c:pt idx="19">
                  <c:v>1407.44</c:v>
                </c:pt>
                <c:pt idx="20">
                  <c:v>1562.34</c:v>
                </c:pt>
                <c:pt idx="21">
                  <c:v>1724.5806911129491</c:v>
                </c:pt>
                <c:pt idx="22">
                  <c:v>2045.9768427919114</c:v>
                </c:pt>
                <c:pt idx="23">
                  <c:v>2260.6646595646134</c:v>
                </c:pt>
                <c:pt idx="24">
                  <c:v>2102.8841635338345</c:v>
                </c:pt>
                <c:pt idx="25">
                  <c:v>2183.7025097060455</c:v>
                </c:pt>
                <c:pt idx="26">
                  <c:v>2179.3550391316453</c:v>
                </c:pt>
                <c:pt idx="27">
                  <c:v>2075.2564829612825</c:v>
                </c:pt>
                <c:pt idx="28">
                  <c:v>2072.0546654099908</c:v>
                </c:pt>
                <c:pt idx="29">
                  <c:v>1923.4845072959827</c:v>
                </c:pt>
                <c:pt idx="30">
                  <c:v>1888.34</c:v>
                </c:pt>
                <c:pt idx="31">
                  <c:v>1854.34</c:v>
                </c:pt>
                <c:pt idx="32">
                  <c:v>1785.46</c:v>
                </c:pt>
                <c:pt idx="33">
                  <c:v>1646.92</c:v>
                </c:pt>
                <c:pt idx="34">
                  <c:v>1699.17</c:v>
                </c:pt>
                <c:pt idx="35">
                  <c:v>1675.79</c:v>
                </c:pt>
                <c:pt idx="36">
                  <c:v>1682.77</c:v>
                </c:pt>
                <c:pt idx="37">
                  <c:v>1671.68</c:v>
                </c:pt>
                <c:pt idx="38">
                  <c:v>1629.3</c:v>
                </c:pt>
                <c:pt idx="39">
                  <c:v>1652.32</c:v>
                </c:pt>
                <c:pt idx="40">
                  <c:v>1562.36</c:v>
                </c:pt>
                <c:pt idx="41">
                  <c:v>1610.66</c:v>
                </c:pt>
                <c:pt idx="42">
                  <c:v>1547.28</c:v>
                </c:pt>
                <c:pt idx="43">
                  <c:v>1511.12</c:v>
                </c:pt>
                <c:pt idx="44">
                  <c:v>1401.45</c:v>
                </c:pt>
                <c:pt idx="45">
                  <c:v>1442.01</c:v>
                </c:pt>
                <c:pt idx="46">
                  <c:v>1477.82</c:v>
                </c:pt>
                <c:pt idx="47">
                  <c:v>1468.47</c:v>
                </c:pt>
                <c:pt idx="48">
                  <c:v>1393.9</c:v>
                </c:pt>
                <c:pt idx="49">
                  <c:v>1416.6</c:v>
                </c:pt>
                <c:pt idx="50">
                  <c:v>1389.31</c:v>
                </c:pt>
                <c:pt idx="51">
                  <c:v>1409.46</c:v>
                </c:pt>
                <c:pt idx="52">
                  <c:v>1402.23</c:v>
                </c:pt>
                <c:pt idx="53">
                  <c:v>1433.13</c:v>
                </c:pt>
                <c:pt idx="54">
                  <c:v>1449.64</c:v>
                </c:pt>
                <c:pt idx="55">
                  <c:v>1447.12</c:v>
                </c:pt>
                <c:pt idx="56">
                  <c:v>1474.89</c:v>
                </c:pt>
                <c:pt idx="57">
                  <c:v>1558.26</c:v>
                </c:pt>
                <c:pt idx="58">
                  <c:v>1755.97</c:v>
                </c:pt>
                <c:pt idx="59">
                  <c:v>1771.1</c:v>
                </c:pt>
              </c:numCache>
            </c:numRef>
          </c:val>
          <c:smooth val="0"/>
          <c:extLst>
            <c:ext xmlns:c16="http://schemas.microsoft.com/office/drawing/2014/chart" uri="{C3380CC4-5D6E-409C-BE32-E72D297353CC}">
              <c16:uniqueId val="{00000001-BED3-4F97-8D0F-70FE08A264D9}"/>
            </c:ext>
          </c:extLst>
        </c:ser>
        <c:ser>
          <c:idx val="2"/>
          <c:order val="2"/>
          <c:tx>
            <c:strRef>
              <c:f>[1]Sheet4!$E$79</c:f>
              <c:strCache>
                <c:ptCount val="1"/>
                <c:pt idx="0">
                  <c:v>Caustic Soda Lye Ex-JNPT</c:v>
                </c:pt>
              </c:strCache>
            </c:strRef>
          </c:tx>
          <c:spPr>
            <a:ln w="28575" cap="rnd">
              <a:solidFill>
                <a:schemeClr val="accent3"/>
              </a:solidFill>
              <a:round/>
            </a:ln>
            <a:effectLst/>
          </c:spPr>
          <c:marker>
            <c:symbol val="none"/>
          </c:marker>
          <c:cat>
            <c:multiLvlStrRef>
              <c:f>[1]Sheet4!$A$80:$B$139</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[1]Sheet4!$E$80:$E$139</c:f>
              <c:numCache>
                <c:formatCode>General</c:formatCode>
                <c:ptCount val="60"/>
                <c:pt idx="0">
                  <c:v>600.45207686054243</c:v>
                </c:pt>
                <c:pt idx="1">
                  <c:v>614.11296000000004</c:v>
                </c:pt>
                <c:pt idx="2">
                  <c:v>601.15355745239651</c:v>
                </c:pt>
                <c:pt idx="3">
                  <c:v>616.2107041105354</c:v>
                </c:pt>
                <c:pt idx="4">
                  <c:v>571.23</c:v>
                </c:pt>
                <c:pt idx="5">
                  <c:v>548.34</c:v>
                </c:pt>
                <c:pt idx="6">
                  <c:v>526</c:v>
                </c:pt>
                <c:pt idx="7">
                  <c:v>503.24</c:v>
                </c:pt>
                <c:pt idx="8">
                  <c:v>480.35</c:v>
                </c:pt>
                <c:pt idx="9">
                  <c:v>435.82289012142104</c:v>
                </c:pt>
                <c:pt idx="10">
                  <c:v>455.43201573504223</c:v>
                </c:pt>
                <c:pt idx="11">
                  <c:v>495.03682701081999</c:v>
                </c:pt>
                <c:pt idx="12">
                  <c:v>502.64183623178207</c:v>
                </c:pt>
                <c:pt idx="13">
                  <c:v>517.42976090443813</c:v>
                </c:pt>
                <c:pt idx="14">
                  <c:v>543.23092532467535</c:v>
                </c:pt>
                <c:pt idx="15">
                  <c:v>537.38865959743475</c:v>
                </c:pt>
                <c:pt idx="16">
                  <c:v>536.49979760362703</c:v>
                </c:pt>
                <c:pt idx="17">
                  <c:v>530.32455304387599</c:v>
                </c:pt>
                <c:pt idx="18">
                  <c:v>529.00975043528729</c:v>
                </c:pt>
                <c:pt idx="19">
                  <c:v>557.44133647874435</c:v>
                </c:pt>
                <c:pt idx="20">
                  <c:v>671.94838410651835</c:v>
                </c:pt>
                <c:pt idx="21">
                  <c:v>787.28994261552396</c:v>
                </c:pt>
                <c:pt idx="22">
                  <c:v>735.51236985385424</c:v>
                </c:pt>
                <c:pt idx="23">
                  <c:v>778.76</c:v>
                </c:pt>
                <c:pt idx="24">
                  <c:v>722.76</c:v>
                </c:pt>
                <c:pt idx="25">
                  <c:v>666.76</c:v>
                </c:pt>
                <c:pt idx="26">
                  <c:v>610.76</c:v>
                </c:pt>
                <c:pt idx="27">
                  <c:v>554.76</c:v>
                </c:pt>
                <c:pt idx="28">
                  <c:v>498.76</c:v>
                </c:pt>
                <c:pt idx="29">
                  <c:v>442.76</c:v>
                </c:pt>
                <c:pt idx="30">
                  <c:v>470.53</c:v>
                </c:pt>
                <c:pt idx="31">
                  <c:v>443.88</c:v>
                </c:pt>
                <c:pt idx="32">
                  <c:v>444.67</c:v>
                </c:pt>
                <c:pt idx="33">
                  <c:v>426.71</c:v>
                </c:pt>
                <c:pt idx="34">
                  <c:v>426.06</c:v>
                </c:pt>
                <c:pt idx="35">
                  <c:v>439.66</c:v>
                </c:pt>
                <c:pt idx="36">
                  <c:v>415.22</c:v>
                </c:pt>
                <c:pt idx="37">
                  <c:v>412.98</c:v>
                </c:pt>
                <c:pt idx="38">
                  <c:v>409.49</c:v>
                </c:pt>
                <c:pt idx="39">
                  <c:v>406.54</c:v>
                </c:pt>
                <c:pt idx="40">
                  <c:v>392.28</c:v>
                </c:pt>
                <c:pt idx="41">
                  <c:v>373.25</c:v>
                </c:pt>
                <c:pt idx="42">
                  <c:v>380.91</c:v>
                </c:pt>
                <c:pt idx="43">
                  <c:v>369.39</c:v>
                </c:pt>
                <c:pt idx="44">
                  <c:v>392.08</c:v>
                </c:pt>
                <c:pt idx="45">
                  <c:v>386.73</c:v>
                </c:pt>
                <c:pt idx="46">
                  <c:v>369.03</c:v>
                </c:pt>
                <c:pt idx="47">
                  <c:v>348.2</c:v>
                </c:pt>
                <c:pt idx="48">
                  <c:v>301.77</c:v>
                </c:pt>
                <c:pt idx="49">
                  <c:v>283.58</c:v>
                </c:pt>
                <c:pt idx="50">
                  <c:v>299.77999999999997</c:v>
                </c:pt>
                <c:pt idx="51">
                  <c:v>304.31</c:v>
                </c:pt>
                <c:pt idx="52">
                  <c:v>337.82</c:v>
                </c:pt>
                <c:pt idx="53">
                  <c:v>349.17</c:v>
                </c:pt>
                <c:pt idx="54">
                  <c:v>343.78</c:v>
                </c:pt>
                <c:pt idx="55">
                  <c:v>288.75</c:v>
                </c:pt>
                <c:pt idx="56">
                  <c:v>280.72000000000003</c:v>
                </c:pt>
                <c:pt idx="57">
                  <c:v>274.89</c:v>
                </c:pt>
                <c:pt idx="58">
                  <c:v>306.17</c:v>
                </c:pt>
                <c:pt idx="59">
                  <c:v>324.48</c:v>
                </c:pt>
              </c:numCache>
            </c:numRef>
          </c:val>
          <c:smooth val="0"/>
          <c:extLst>
            <c:ext xmlns:c16="http://schemas.microsoft.com/office/drawing/2014/chart" uri="{C3380CC4-5D6E-409C-BE32-E72D297353CC}">
              <c16:uniqueId val="{00000002-BED3-4F97-8D0F-70FE08A264D9}"/>
            </c:ext>
          </c:extLst>
        </c:ser>
        <c:dLbls>
          <c:showLegendKey val="0"/>
          <c:showVal val="0"/>
          <c:showCatName val="0"/>
          <c:showSerName val="0"/>
          <c:showPercent val="0"/>
          <c:showBubbleSize val="0"/>
        </c:dLbls>
        <c:smooth val="0"/>
        <c:axId val="826264608"/>
        <c:axId val="826245888"/>
      </c:lineChart>
      <c:catAx>
        <c:axId val="826264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6245888"/>
        <c:crosses val="autoZero"/>
        <c:auto val="1"/>
        <c:lblAlgn val="ctr"/>
        <c:lblOffset val="100"/>
        <c:noMultiLvlLbl val="0"/>
      </c:catAx>
      <c:valAx>
        <c:axId val="8262458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62646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[1]Sheet3!$C$67</c:f>
              <c:strCache>
                <c:ptCount val="1"/>
                <c:pt idx="0">
                  <c:v>Liquid Epoxy Resin </c:v>
                </c:pt>
              </c:strCache>
            </c:strRef>
          </c:tx>
          <c:spPr>
            <a:ln w="28575" cap="rnd">
              <a:solidFill>
                <a:schemeClr val="accent1"/>
              </a:solidFill>
              <a:round/>
            </a:ln>
            <a:effectLst/>
          </c:spPr>
          <c:marker>
            <c:symbol val="none"/>
          </c:marker>
          <c:cat>
            <c:multiLvlStrRef>
              <c:f>[1]Sheet3!$A$68:$B$127</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[1]Sheet3!$C$68:$C$127</c:f>
              <c:numCache>
                <c:formatCode>General</c:formatCode>
                <c:ptCount val="60"/>
                <c:pt idx="0">
                  <c:v>2671</c:v>
                </c:pt>
                <c:pt idx="1">
                  <c:v>2765</c:v>
                </c:pt>
                <c:pt idx="2">
                  <c:v>2956</c:v>
                </c:pt>
                <c:pt idx="3">
                  <c:v>3055</c:v>
                </c:pt>
                <c:pt idx="4">
                  <c:v>2956</c:v>
                </c:pt>
                <c:pt idx="5">
                  <c:v>3093</c:v>
                </c:pt>
                <c:pt idx="6">
                  <c:v>2897</c:v>
                </c:pt>
                <c:pt idx="7">
                  <c:v>2740</c:v>
                </c:pt>
                <c:pt idx="8">
                  <c:v>2715</c:v>
                </c:pt>
                <c:pt idx="9">
                  <c:v>2638</c:v>
                </c:pt>
                <c:pt idx="10">
                  <c:v>3275</c:v>
                </c:pt>
                <c:pt idx="11">
                  <c:v>3232</c:v>
                </c:pt>
                <c:pt idx="12">
                  <c:v>3000</c:v>
                </c:pt>
                <c:pt idx="13">
                  <c:v>2993</c:v>
                </c:pt>
                <c:pt idx="14">
                  <c:v>2788</c:v>
                </c:pt>
                <c:pt idx="15">
                  <c:v>2583</c:v>
                </c:pt>
                <c:pt idx="16">
                  <c:v>2473</c:v>
                </c:pt>
                <c:pt idx="17">
                  <c:v>2590</c:v>
                </c:pt>
                <c:pt idx="18">
                  <c:v>2794</c:v>
                </c:pt>
                <c:pt idx="19">
                  <c:v>3030</c:v>
                </c:pt>
                <c:pt idx="20">
                  <c:v>3327</c:v>
                </c:pt>
                <c:pt idx="21">
                  <c:v>3683</c:v>
                </c:pt>
                <c:pt idx="22">
                  <c:v>3890</c:v>
                </c:pt>
                <c:pt idx="23">
                  <c:v>4240</c:v>
                </c:pt>
                <c:pt idx="24">
                  <c:v>3502</c:v>
                </c:pt>
                <c:pt idx="25">
                  <c:v>3487</c:v>
                </c:pt>
                <c:pt idx="26">
                  <c:v>3514</c:v>
                </c:pt>
                <c:pt idx="27">
                  <c:v>3491</c:v>
                </c:pt>
                <c:pt idx="28">
                  <c:v>3487</c:v>
                </c:pt>
                <c:pt idx="29">
                  <c:v>3213</c:v>
                </c:pt>
                <c:pt idx="30">
                  <c:v>3173</c:v>
                </c:pt>
                <c:pt idx="31">
                  <c:v>3093</c:v>
                </c:pt>
                <c:pt idx="32">
                  <c:v>2972</c:v>
                </c:pt>
                <c:pt idx="33">
                  <c:v>2716</c:v>
                </c:pt>
                <c:pt idx="34">
                  <c:v>2768</c:v>
                </c:pt>
                <c:pt idx="35">
                  <c:v>2806</c:v>
                </c:pt>
                <c:pt idx="36">
                  <c:v>2910</c:v>
                </c:pt>
                <c:pt idx="37">
                  <c:v>2870</c:v>
                </c:pt>
                <c:pt idx="38">
                  <c:v>2828</c:v>
                </c:pt>
                <c:pt idx="39">
                  <c:v>2876</c:v>
                </c:pt>
                <c:pt idx="40">
                  <c:v>2789</c:v>
                </c:pt>
                <c:pt idx="41">
                  <c:v>2816</c:v>
                </c:pt>
                <c:pt idx="42">
                  <c:v>2796</c:v>
                </c:pt>
                <c:pt idx="43">
                  <c:v>2769</c:v>
                </c:pt>
                <c:pt idx="44">
                  <c:v>2721</c:v>
                </c:pt>
                <c:pt idx="45">
                  <c:v>2749</c:v>
                </c:pt>
                <c:pt idx="46">
                  <c:v>2780</c:v>
                </c:pt>
                <c:pt idx="47">
                  <c:v>2692</c:v>
                </c:pt>
                <c:pt idx="48">
                  <c:v>3504</c:v>
                </c:pt>
                <c:pt idx="49">
                  <c:v>3565</c:v>
                </c:pt>
                <c:pt idx="50">
                  <c:v>3585</c:v>
                </c:pt>
                <c:pt idx="51">
                  <c:v>3646</c:v>
                </c:pt>
                <c:pt idx="52">
                  <c:v>3667</c:v>
                </c:pt>
                <c:pt idx="53">
                  <c:v>3752</c:v>
                </c:pt>
                <c:pt idx="54">
                  <c:v>3746</c:v>
                </c:pt>
                <c:pt idx="55">
                  <c:v>3738</c:v>
                </c:pt>
                <c:pt idx="56">
                  <c:v>3823</c:v>
                </c:pt>
                <c:pt idx="57">
                  <c:v>4262</c:v>
                </c:pt>
                <c:pt idx="58">
                  <c:v>4896</c:v>
                </c:pt>
                <c:pt idx="59">
                  <c:v>5443</c:v>
                </c:pt>
              </c:numCache>
            </c:numRef>
          </c:val>
          <c:smooth val="0"/>
          <c:extLst>
            <c:ext xmlns:c16="http://schemas.microsoft.com/office/drawing/2014/chart" uri="{C3380CC4-5D6E-409C-BE32-E72D297353CC}">
              <c16:uniqueId val="{00000000-FB53-40C0-B398-3A1025A4D81E}"/>
            </c:ext>
          </c:extLst>
        </c:ser>
        <c:ser>
          <c:idx val="1"/>
          <c:order val="1"/>
          <c:tx>
            <c:strRef>
              <c:f>[1]Sheet3!$D$67</c:f>
              <c:strCache>
                <c:ptCount val="1"/>
                <c:pt idx="0">
                  <c:v>Solid Epoxy Resin</c:v>
                </c:pt>
              </c:strCache>
            </c:strRef>
          </c:tx>
          <c:spPr>
            <a:ln w="28575" cap="rnd">
              <a:solidFill>
                <a:schemeClr val="accent2"/>
              </a:solidFill>
              <a:round/>
            </a:ln>
            <a:effectLst/>
          </c:spPr>
          <c:marker>
            <c:symbol val="none"/>
          </c:marker>
          <c:cat>
            <c:multiLvlStrRef>
              <c:f>[1]Sheet3!$A$68:$B$127</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[1]Sheet3!$D$68:$D$127</c:f>
              <c:numCache>
                <c:formatCode>General</c:formatCode>
                <c:ptCount val="60"/>
                <c:pt idx="0">
                  <c:v>2470</c:v>
                </c:pt>
                <c:pt idx="1">
                  <c:v>2561</c:v>
                </c:pt>
                <c:pt idx="2">
                  <c:v>2712</c:v>
                </c:pt>
                <c:pt idx="3">
                  <c:v>2834</c:v>
                </c:pt>
                <c:pt idx="4">
                  <c:v>2718</c:v>
                </c:pt>
                <c:pt idx="5">
                  <c:v>2852</c:v>
                </c:pt>
                <c:pt idx="6">
                  <c:v>2667</c:v>
                </c:pt>
                <c:pt idx="7">
                  <c:v>2536</c:v>
                </c:pt>
                <c:pt idx="8">
                  <c:v>2496</c:v>
                </c:pt>
                <c:pt idx="9">
                  <c:v>2416</c:v>
                </c:pt>
                <c:pt idx="10">
                  <c:v>3026</c:v>
                </c:pt>
                <c:pt idx="11">
                  <c:v>2967</c:v>
                </c:pt>
                <c:pt idx="12">
                  <c:v>2798</c:v>
                </c:pt>
                <c:pt idx="13">
                  <c:v>2793</c:v>
                </c:pt>
                <c:pt idx="14">
                  <c:v>2596</c:v>
                </c:pt>
                <c:pt idx="15">
                  <c:v>2395</c:v>
                </c:pt>
                <c:pt idx="16">
                  <c:v>2290</c:v>
                </c:pt>
                <c:pt idx="17">
                  <c:v>2402</c:v>
                </c:pt>
                <c:pt idx="18">
                  <c:v>2573</c:v>
                </c:pt>
                <c:pt idx="19">
                  <c:v>2778</c:v>
                </c:pt>
                <c:pt idx="20">
                  <c:v>3056</c:v>
                </c:pt>
                <c:pt idx="21">
                  <c:v>3388</c:v>
                </c:pt>
                <c:pt idx="22">
                  <c:v>3530</c:v>
                </c:pt>
                <c:pt idx="23">
                  <c:v>3840</c:v>
                </c:pt>
                <c:pt idx="24">
                  <c:v>3259</c:v>
                </c:pt>
                <c:pt idx="25">
                  <c:v>3226</c:v>
                </c:pt>
                <c:pt idx="26">
                  <c:v>3247</c:v>
                </c:pt>
                <c:pt idx="27">
                  <c:v>3233</c:v>
                </c:pt>
                <c:pt idx="28">
                  <c:v>3224</c:v>
                </c:pt>
                <c:pt idx="29">
                  <c:v>2967</c:v>
                </c:pt>
                <c:pt idx="30">
                  <c:v>2935</c:v>
                </c:pt>
                <c:pt idx="31">
                  <c:v>2857</c:v>
                </c:pt>
                <c:pt idx="32">
                  <c:v>2747</c:v>
                </c:pt>
                <c:pt idx="33">
                  <c:v>2510</c:v>
                </c:pt>
                <c:pt idx="34">
                  <c:v>2554</c:v>
                </c:pt>
                <c:pt idx="35">
                  <c:v>2598</c:v>
                </c:pt>
                <c:pt idx="36">
                  <c:v>2674</c:v>
                </c:pt>
                <c:pt idx="37">
                  <c:v>2636</c:v>
                </c:pt>
                <c:pt idx="38">
                  <c:v>2600</c:v>
                </c:pt>
                <c:pt idx="39">
                  <c:v>2644</c:v>
                </c:pt>
                <c:pt idx="40">
                  <c:v>2569</c:v>
                </c:pt>
                <c:pt idx="41">
                  <c:v>2587</c:v>
                </c:pt>
                <c:pt idx="42">
                  <c:v>2577</c:v>
                </c:pt>
                <c:pt idx="43">
                  <c:v>2556</c:v>
                </c:pt>
                <c:pt idx="44">
                  <c:v>2527</c:v>
                </c:pt>
                <c:pt idx="45">
                  <c:v>2548</c:v>
                </c:pt>
                <c:pt idx="46">
                  <c:v>2571</c:v>
                </c:pt>
                <c:pt idx="47">
                  <c:v>2483</c:v>
                </c:pt>
                <c:pt idx="48">
                  <c:v>3034</c:v>
                </c:pt>
                <c:pt idx="49">
                  <c:v>3083</c:v>
                </c:pt>
                <c:pt idx="50">
                  <c:v>3110</c:v>
                </c:pt>
                <c:pt idx="51">
                  <c:v>3163</c:v>
                </c:pt>
                <c:pt idx="52">
                  <c:v>3189</c:v>
                </c:pt>
                <c:pt idx="53">
                  <c:v>3264</c:v>
                </c:pt>
                <c:pt idx="54">
                  <c:v>3254</c:v>
                </c:pt>
                <c:pt idx="55">
                  <c:v>3239</c:v>
                </c:pt>
                <c:pt idx="56">
                  <c:v>3312</c:v>
                </c:pt>
                <c:pt idx="57">
                  <c:v>3703</c:v>
                </c:pt>
                <c:pt idx="58">
                  <c:v>4260</c:v>
                </c:pt>
                <c:pt idx="59">
                  <c:v>4769</c:v>
                </c:pt>
              </c:numCache>
            </c:numRef>
          </c:val>
          <c:smooth val="0"/>
          <c:extLst>
            <c:ext xmlns:c16="http://schemas.microsoft.com/office/drawing/2014/chart" uri="{C3380CC4-5D6E-409C-BE32-E72D297353CC}">
              <c16:uniqueId val="{00000001-FB53-40C0-B398-3A1025A4D81E}"/>
            </c:ext>
          </c:extLst>
        </c:ser>
        <c:ser>
          <c:idx val="2"/>
          <c:order val="2"/>
          <c:tx>
            <c:strRef>
              <c:f>[1]Sheet3!$E$67</c:f>
              <c:strCache>
                <c:ptCount val="1"/>
                <c:pt idx="0">
                  <c:v>Semi- Solid Epoxy Resin</c:v>
                </c:pt>
              </c:strCache>
            </c:strRef>
          </c:tx>
          <c:spPr>
            <a:ln w="28575" cap="rnd">
              <a:solidFill>
                <a:schemeClr val="accent3"/>
              </a:solidFill>
              <a:round/>
            </a:ln>
            <a:effectLst/>
          </c:spPr>
          <c:marker>
            <c:symbol val="none"/>
          </c:marker>
          <c:cat>
            <c:multiLvlStrRef>
              <c:f>[1]Sheet3!$A$68:$B$127</c:f>
              <c:multiLvlStrCache>
                <c:ptCount val="60"/>
                <c:lvl>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pt idx="12">
                    <c:v>April</c:v>
                  </c:pt>
                  <c:pt idx="13">
                    <c:v>May</c:v>
                  </c:pt>
                  <c:pt idx="14">
                    <c:v>June</c:v>
                  </c:pt>
                  <c:pt idx="15">
                    <c:v>July</c:v>
                  </c:pt>
                  <c:pt idx="16">
                    <c:v>August</c:v>
                  </c:pt>
                  <c:pt idx="17">
                    <c:v>September</c:v>
                  </c:pt>
                  <c:pt idx="18">
                    <c:v>October</c:v>
                  </c:pt>
                  <c:pt idx="19">
                    <c:v>November</c:v>
                  </c:pt>
                  <c:pt idx="20">
                    <c:v>December</c:v>
                  </c:pt>
                  <c:pt idx="21">
                    <c:v>January</c:v>
                  </c:pt>
                  <c:pt idx="22">
                    <c:v>February</c:v>
                  </c:pt>
                  <c:pt idx="23">
                    <c:v>March</c:v>
                  </c:pt>
                  <c:pt idx="24">
                    <c:v>April</c:v>
                  </c:pt>
                  <c:pt idx="25">
                    <c:v>May</c:v>
                  </c:pt>
                  <c:pt idx="26">
                    <c:v>June</c:v>
                  </c:pt>
                  <c:pt idx="27">
                    <c:v>July</c:v>
                  </c:pt>
                  <c:pt idx="28">
                    <c:v>August</c:v>
                  </c:pt>
                  <c:pt idx="29">
                    <c:v>September</c:v>
                  </c:pt>
                  <c:pt idx="30">
                    <c:v>October</c:v>
                  </c:pt>
                  <c:pt idx="31">
                    <c:v>November</c:v>
                  </c:pt>
                  <c:pt idx="32">
                    <c:v>December</c:v>
                  </c:pt>
                  <c:pt idx="33">
                    <c:v>January</c:v>
                  </c:pt>
                  <c:pt idx="34">
                    <c:v>February</c:v>
                  </c:pt>
                  <c:pt idx="35">
                    <c:v>March</c:v>
                  </c:pt>
                  <c:pt idx="36">
                    <c:v>April</c:v>
                  </c:pt>
                  <c:pt idx="37">
                    <c:v>May</c:v>
                  </c:pt>
                  <c:pt idx="38">
                    <c:v>June</c:v>
                  </c:pt>
                  <c:pt idx="39">
                    <c:v>July</c:v>
                  </c:pt>
                  <c:pt idx="40">
                    <c:v>August</c:v>
                  </c:pt>
                  <c:pt idx="41">
                    <c:v>September</c:v>
                  </c:pt>
                  <c:pt idx="42">
                    <c:v>October</c:v>
                  </c:pt>
                  <c:pt idx="43">
                    <c:v>November</c:v>
                  </c:pt>
                  <c:pt idx="44">
                    <c:v>December</c:v>
                  </c:pt>
                  <c:pt idx="45">
                    <c:v>January</c:v>
                  </c:pt>
                  <c:pt idx="46">
                    <c:v>February</c:v>
                  </c:pt>
                  <c:pt idx="47">
                    <c:v>March</c:v>
                  </c:pt>
                  <c:pt idx="48">
                    <c:v>April</c:v>
                  </c:pt>
                  <c:pt idx="49">
                    <c:v>May</c:v>
                  </c:pt>
                  <c:pt idx="50">
                    <c:v>June</c:v>
                  </c:pt>
                  <c:pt idx="51">
                    <c:v>July</c:v>
                  </c:pt>
                  <c:pt idx="52">
                    <c:v>August</c:v>
                  </c:pt>
                  <c:pt idx="53">
                    <c:v>September</c:v>
                  </c:pt>
                  <c:pt idx="54">
                    <c:v>October</c:v>
                  </c:pt>
                  <c:pt idx="55">
                    <c:v>November</c:v>
                  </c:pt>
                  <c:pt idx="56">
                    <c:v>December</c:v>
                  </c:pt>
                  <c:pt idx="57">
                    <c:v>January</c:v>
                  </c:pt>
                  <c:pt idx="58">
                    <c:v>February</c:v>
                  </c:pt>
                  <c:pt idx="59">
                    <c:v>March</c:v>
                  </c:pt>
                </c:lvl>
                <c:lvl>
                  <c:pt idx="0">
                    <c:v>2017</c:v>
                  </c:pt>
                  <c:pt idx="12">
                    <c:v>2018</c:v>
                  </c:pt>
                  <c:pt idx="24">
                    <c:v>2019</c:v>
                  </c:pt>
                  <c:pt idx="36">
                    <c:v>2020</c:v>
                  </c:pt>
                  <c:pt idx="48">
                    <c:v>2021</c:v>
                  </c:pt>
                </c:lvl>
              </c:multiLvlStrCache>
            </c:multiLvlStrRef>
          </c:cat>
          <c:val>
            <c:numRef>
              <c:f>[1]Sheet3!$E$68:$E$127</c:f>
              <c:numCache>
                <c:formatCode>General</c:formatCode>
                <c:ptCount val="60"/>
                <c:pt idx="0">
                  <c:v>2548</c:v>
                </c:pt>
                <c:pt idx="1">
                  <c:v>2639</c:v>
                </c:pt>
                <c:pt idx="2">
                  <c:v>2792</c:v>
                </c:pt>
                <c:pt idx="3">
                  <c:v>2915</c:v>
                </c:pt>
                <c:pt idx="4">
                  <c:v>2797</c:v>
                </c:pt>
                <c:pt idx="5">
                  <c:v>2939</c:v>
                </c:pt>
                <c:pt idx="6">
                  <c:v>2743</c:v>
                </c:pt>
                <c:pt idx="7">
                  <c:v>2612</c:v>
                </c:pt>
                <c:pt idx="8">
                  <c:v>2575</c:v>
                </c:pt>
                <c:pt idx="9">
                  <c:v>2493</c:v>
                </c:pt>
                <c:pt idx="10">
                  <c:v>3112</c:v>
                </c:pt>
                <c:pt idx="11">
                  <c:v>3058</c:v>
                </c:pt>
                <c:pt idx="12">
                  <c:v>2876</c:v>
                </c:pt>
                <c:pt idx="13">
                  <c:v>2871</c:v>
                </c:pt>
                <c:pt idx="14">
                  <c:v>2671</c:v>
                </c:pt>
                <c:pt idx="15">
                  <c:v>2469</c:v>
                </c:pt>
                <c:pt idx="16">
                  <c:v>2362</c:v>
                </c:pt>
                <c:pt idx="17">
                  <c:v>2476</c:v>
                </c:pt>
                <c:pt idx="18">
                  <c:v>2656</c:v>
                </c:pt>
                <c:pt idx="19">
                  <c:v>2871</c:v>
                </c:pt>
                <c:pt idx="20">
                  <c:v>3158</c:v>
                </c:pt>
                <c:pt idx="21">
                  <c:v>3502</c:v>
                </c:pt>
                <c:pt idx="22">
                  <c:v>3659</c:v>
                </c:pt>
                <c:pt idx="23">
                  <c:v>3982</c:v>
                </c:pt>
                <c:pt idx="24">
                  <c:v>3363</c:v>
                </c:pt>
                <c:pt idx="25">
                  <c:v>3332</c:v>
                </c:pt>
                <c:pt idx="26">
                  <c:v>3354</c:v>
                </c:pt>
                <c:pt idx="27">
                  <c:v>3335</c:v>
                </c:pt>
                <c:pt idx="28">
                  <c:v>3326</c:v>
                </c:pt>
                <c:pt idx="29">
                  <c:v>3061</c:v>
                </c:pt>
                <c:pt idx="30">
                  <c:v>3028</c:v>
                </c:pt>
                <c:pt idx="31">
                  <c:v>2948</c:v>
                </c:pt>
                <c:pt idx="32">
                  <c:v>2834</c:v>
                </c:pt>
                <c:pt idx="33">
                  <c:v>2591</c:v>
                </c:pt>
                <c:pt idx="34">
                  <c:v>2637</c:v>
                </c:pt>
                <c:pt idx="35">
                  <c:v>2680</c:v>
                </c:pt>
                <c:pt idx="36">
                  <c:v>2760</c:v>
                </c:pt>
                <c:pt idx="37">
                  <c:v>2722</c:v>
                </c:pt>
                <c:pt idx="38">
                  <c:v>2684</c:v>
                </c:pt>
                <c:pt idx="39">
                  <c:v>2729</c:v>
                </c:pt>
                <c:pt idx="40">
                  <c:v>2650</c:v>
                </c:pt>
                <c:pt idx="41">
                  <c:v>2670</c:v>
                </c:pt>
                <c:pt idx="42">
                  <c:v>2657</c:v>
                </c:pt>
                <c:pt idx="43">
                  <c:v>2634</c:v>
                </c:pt>
                <c:pt idx="44">
                  <c:v>2601</c:v>
                </c:pt>
                <c:pt idx="45">
                  <c:v>2623</c:v>
                </c:pt>
                <c:pt idx="46">
                  <c:v>2648</c:v>
                </c:pt>
                <c:pt idx="47">
                  <c:v>2559</c:v>
                </c:pt>
                <c:pt idx="48">
                  <c:v>2687</c:v>
                </c:pt>
                <c:pt idx="49">
                  <c:v>2731</c:v>
                </c:pt>
                <c:pt idx="50">
                  <c:v>2753</c:v>
                </c:pt>
                <c:pt idx="51">
                  <c:v>2800</c:v>
                </c:pt>
                <c:pt idx="52">
                  <c:v>2822</c:v>
                </c:pt>
                <c:pt idx="53">
                  <c:v>2888</c:v>
                </c:pt>
                <c:pt idx="54">
                  <c:v>2881</c:v>
                </c:pt>
                <c:pt idx="55">
                  <c:v>2867</c:v>
                </c:pt>
                <c:pt idx="56">
                  <c:v>2931</c:v>
                </c:pt>
                <c:pt idx="57">
                  <c:v>3273</c:v>
                </c:pt>
                <c:pt idx="58">
                  <c:v>3764</c:v>
                </c:pt>
                <c:pt idx="59">
                  <c:v>4205</c:v>
                </c:pt>
              </c:numCache>
            </c:numRef>
          </c:val>
          <c:smooth val="0"/>
          <c:extLst>
            <c:ext xmlns:c16="http://schemas.microsoft.com/office/drawing/2014/chart" uri="{C3380CC4-5D6E-409C-BE32-E72D297353CC}">
              <c16:uniqueId val="{00000002-FB53-40C0-B398-3A1025A4D81E}"/>
            </c:ext>
          </c:extLst>
        </c:ser>
        <c:dLbls>
          <c:showLegendKey val="0"/>
          <c:showVal val="0"/>
          <c:showCatName val="0"/>
          <c:showSerName val="0"/>
          <c:showPercent val="0"/>
          <c:showBubbleSize val="0"/>
        </c:dLbls>
        <c:smooth val="0"/>
        <c:axId val="778215664"/>
        <c:axId val="778231472"/>
      </c:lineChart>
      <c:catAx>
        <c:axId val="778215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231472"/>
        <c:crosses val="autoZero"/>
        <c:auto val="1"/>
        <c:lblAlgn val="ctr"/>
        <c:lblOffset val="100"/>
        <c:noMultiLvlLbl val="0"/>
      </c:catAx>
      <c:valAx>
        <c:axId val="778231472"/>
        <c:scaling>
          <c:orientation val="minMax"/>
          <c:min val="1000"/>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2156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South</a:t>
            </a:r>
            <a:r>
              <a:rPr lang="en-US" baseline="0"/>
              <a:t> Korea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'South Korea'!$B$1</c:f>
              <c:strCache>
                <c:ptCount val="1"/>
                <c:pt idx="0">
                  <c:v>Liquid Epoxy Resin EEW 185 FOB Seoul</c:v>
                </c:pt>
              </c:strCache>
            </c:strRef>
          </c:tx>
          <c:spPr>
            <a:ln w="28575" cap="rnd">
              <a:solidFill>
                <a:schemeClr val="accent2"/>
              </a:solidFill>
              <a:round/>
            </a:ln>
            <a:effectLst/>
          </c:spPr>
          <c:marker>
            <c:symbol val="none"/>
          </c:marker>
          <c:cat>
            <c:numRef>
              <c:f>'South Korea'!$A$2:$A$17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'South Korea'!$B$2:$B$17</c:f>
              <c:numCache>
                <c:formatCode>0</c:formatCode>
                <c:ptCount val="16"/>
                <c:pt idx="0">
                  <c:v>3480</c:v>
                </c:pt>
                <c:pt idx="1">
                  <c:v>3603</c:v>
                </c:pt>
                <c:pt idx="2">
                  <c:v>4070</c:v>
                </c:pt>
                <c:pt idx="3">
                  <c:v>5366</c:v>
                </c:pt>
                <c:pt idx="4">
                  <c:v>5095</c:v>
                </c:pt>
                <c:pt idx="5">
                  <c:v>4035</c:v>
                </c:pt>
                <c:pt idx="6">
                  <c:v>5434</c:v>
                </c:pt>
                <c:pt idx="7">
                  <c:v>5518.2269999999999</c:v>
                </c:pt>
                <c:pt idx="8">
                  <c:v>5603.7595185</c:v>
                </c:pt>
                <c:pt idx="9">
                  <c:v>5690.6177910367496</c:v>
                </c:pt>
                <c:pt idx="10">
                  <c:v>5778.8223667978191</c:v>
                </c:pt>
                <c:pt idx="11">
                  <c:v>5868.3941134831857</c:v>
                </c:pt>
                <c:pt idx="12">
                  <c:v>5959.3542222421747</c:v>
                </c:pt>
                <c:pt idx="13">
                  <c:v>6051.7242126869287</c:v>
                </c:pt>
                <c:pt idx="14">
                  <c:v>6145.5259379835761</c:v>
                </c:pt>
                <c:pt idx="15">
                  <c:v>6240.7815900223213</c:v>
                </c:pt>
              </c:numCache>
            </c:numRef>
          </c:val>
          <c:smooth val="0"/>
          <c:extLst>
            <c:ext xmlns:c16="http://schemas.microsoft.com/office/drawing/2014/chart" uri="{C3380CC4-5D6E-409C-BE32-E72D297353CC}">
              <c16:uniqueId val="{00000000-829B-48A1-A732-D6B4ACB49A45}"/>
            </c:ext>
          </c:extLst>
        </c:ser>
        <c:ser>
          <c:idx val="2"/>
          <c:order val="2"/>
          <c:tx>
            <c:strRef>
              <c:f>'South Korea'!$C$1</c:f>
              <c:strCache>
                <c:ptCount val="1"/>
                <c:pt idx="0">
                  <c:v>Solid epoxy Epoxy Resin EEW 860 FOB Seoul</c:v>
                </c:pt>
              </c:strCache>
            </c:strRef>
          </c:tx>
          <c:spPr>
            <a:ln w="28575" cap="rnd">
              <a:solidFill>
                <a:schemeClr val="accent3"/>
              </a:solidFill>
              <a:round/>
            </a:ln>
            <a:effectLst/>
          </c:spPr>
          <c:marker>
            <c:symbol val="none"/>
          </c:marker>
          <c:cat>
            <c:numRef>
              <c:f>'South Korea'!$A$2:$A$17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'South Korea'!$C$2:$C$17</c:f>
              <c:numCache>
                <c:formatCode>0</c:formatCode>
                <c:ptCount val="16"/>
                <c:pt idx="0">
                  <c:v>4607</c:v>
                </c:pt>
                <c:pt idx="1">
                  <c:v>4679</c:v>
                </c:pt>
                <c:pt idx="2">
                  <c:v>5180</c:v>
                </c:pt>
                <c:pt idx="3">
                  <c:v>6573</c:v>
                </c:pt>
                <c:pt idx="4">
                  <c:v>6013</c:v>
                </c:pt>
                <c:pt idx="5">
                  <c:v>4877</c:v>
                </c:pt>
                <c:pt idx="6">
                  <c:v>6177</c:v>
                </c:pt>
                <c:pt idx="7">
                  <c:v>6261.0072</c:v>
                </c:pt>
                <c:pt idx="8">
                  <c:v>6346.1568979200001</c:v>
                </c:pt>
                <c:pt idx="9">
                  <c:v>6432.464631731712</c:v>
                </c:pt>
                <c:pt idx="10">
                  <c:v>6519.9461507232636</c:v>
                </c:pt>
                <c:pt idx="11">
                  <c:v>6608.6174183731</c:v>
                </c:pt>
                <c:pt idx="12">
                  <c:v>6698.4946152629745</c:v>
                </c:pt>
                <c:pt idx="13">
                  <c:v>6789.5941420305508</c:v>
                </c:pt>
                <c:pt idx="14">
                  <c:v>6881.9326223621665</c:v>
                </c:pt>
                <c:pt idx="15">
                  <c:v>6975.5269060262917</c:v>
                </c:pt>
              </c:numCache>
            </c:numRef>
          </c:val>
          <c:smooth val="0"/>
          <c:extLst>
            <c:ext xmlns:c16="http://schemas.microsoft.com/office/drawing/2014/chart" uri="{C3380CC4-5D6E-409C-BE32-E72D297353CC}">
              <c16:uniqueId val="{00000001-829B-48A1-A732-D6B4ACB49A45}"/>
            </c:ext>
          </c:extLst>
        </c:ser>
        <c:ser>
          <c:idx val="3"/>
          <c:order val="3"/>
          <c:tx>
            <c:strRef>
              <c:f>'South Korea'!$D$1</c:f>
              <c:strCache>
                <c:ptCount val="1"/>
                <c:pt idx="0">
                  <c:v>Semi-Solid Epoxy Resin EEW 335 FOB Seoul</c:v>
                </c:pt>
              </c:strCache>
            </c:strRef>
          </c:tx>
          <c:spPr>
            <a:ln w="28575" cap="rnd">
              <a:solidFill>
                <a:schemeClr val="accent4"/>
              </a:solidFill>
              <a:round/>
            </a:ln>
            <a:effectLst/>
          </c:spPr>
          <c:marker>
            <c:symbol val="none"/>
          </c:marker>
          <c:cat>
            <c:numRef>
              <c:f>'South Korea'!$A$2:$A$17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'South Korea'!$D$2:$D$17</c:f>
              <c:numCache>
                <c:formatCode>0</c:formatCode>
                <c:ptCount val="16"/>
                <c:pt idx="0">
                  <c:v>2809</c:v>
                </c:pt>
                <c:pt idx="1">
                  <c:v>2995</c:v>
                </c:pt>
                <c:pt idx="2">
                  <c:v>3398</c:v>
                </c:pt>
                <c:pt idx="3">
                  <c:v>4855</c:v>
                </c:pt>
                <c:pt idx="4">
                  <c:v>4418</c:v>
                </c:pt>
                <c:pt idx="5">
                  <c:v>3429</c:v>
                </c:pt>
                <c:pt idx="6">
                  <c:v>4775</c:v>
                </c:pt>
                <c:pt idx="7">
                  <c:v>4845.1925000000001</c:v>
                </c:pt>
                <c:pt idx="8">
                  <c:v>4916.41682975</c:v>
                </c:pt>
                <c:pt idx="9">
                  <c:v>4988.688157147325</c:v>
                </c:pt>
                <c:pt idx="10">
                  <c:v>5062.0218730573906</c:v>
                </c:pt>
                <c:pt idx="11">
                  <c:v>5136.4335945913344</c:v>
                </c:pt>
                <c:pt idx="12">
                  <c:v>5211.9391684318271</c:v>
                </c:pt>
                <c:pt idx="13">
                  <c:v>5288.554674207775</c:v>
                </c:pt>
                <c:pt idx="14">
                  <c:v>5366.296427918629</c:v>
                </c:pt>
                <c:pt idx="15">
                  <c:v>5445.1809854090325</c:v>
                </c:pt>
              </c:numCache>
            </c:numRef>
          </c:val>
          <c:smooth val="0"/>
          <c:extLst>
            <c:ext xmlns:c16="http://schemas.microsoft.com/office/drawing/2014/chart" uri="{C3380CC4-5D6E-409C-BE32-E72D297353CC}">
              <c16:uniqueId val="{00000002-829B-48A1-A732-D6B4ACB49A45}"/>
            </c:ext>
          </c:extLst>
        </c:ser>
        <c:dLbls>
          <c:showLegendKey val="0"/>
          <c:showVal val="0"/>
          <c:showCatName val="0"/>
          <c:showSerName val="0"/>
          <c:showPercent val="0"/>
          <c:showBubbleSize val="0"/>
        </c:dLbls>
        <c:smooth val="0"/>
        <c:axId val="713373840"/>
        <c:axId val="713369576"/>
        <c:extLst>
          <c:ext xmlns:c15="http://schemas.microsoft.com/office/drawing/2012/chart" uri="{02D57815-91ED-43cb-92C2-25804820EDAC}">
            <c15:filteredLineSeries>
              <c15:ser>
                <c:idx val="0"/>
                <c:order val="0"/>
                <c:tx>
                  <c:strRef>
                    <c:extLst>
                      <c:ext uri="{02D57815-91ED-43cb-92C2-25804820EDAC}">
                        <c15:formulaRef>
                          <c15:sqref>'South Korea'!$A$1</c15:sqref>
                        </c15:formulaRef>
                      </c:ext>
                    </c:extLst>
                    <c:strCache>
                      <c:ptCount val="1"/>
                      <c:pt idx="0">
                        <c:v>Yearly</c:v>
                      </c:pt>
                    </c:strCache>
                  </c:strRef>
                </c:tx>
                <c:spPr>
                  <a:ln w="28575" cap="rnd">
                    <a:solidFill>
                      <a:schemeClr val="accent1"/>
                    </a:solidFill>
                    <a:round/>
                  </a:ln>
                  <a:effectLst/>
                </c:spPr>
                <c:marker>
                  <c:symbol val="none"/>
                </c:marker>
                <c:cat>
                  <c:numRef>
                    <c:extLst>
                      <c:ext uri="{02D57815-91ED-43cb-92C2-25804820EDAC}">
                        <c15:formulaRef>
                          <c15:sqref>'South Korea'!$A$2:$A$17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extLst>
                      <c:ext uri="{02D57815-91ED-43cb-92C2-25804820EDAC}">
                        <c15:formulaRef>
                          <c15:sqref>'South Korea'!$A$2:$A$17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val>
                <c:smooth val="0"/>
                <c:extLst>
                  <c:ext xmlns:c16="http://schemas.microsoft.com/office/drawing/2014/chart" uri="{C3380CC4-5D6E-409C-BE32-E72D297353CC}">
                    <c16:uniqueId val="{00000003-829B-48A1-A732-D6B4ACB49A45}"/>
                  </c:ext>
                </c:extLst>
              </c15:ser>
            </c15:filteredLineSeries>
          </c:ext>
        </c:extLst>
      </c:lineChart>
      <c:catAx>
        <c:axId val="713373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3369576"/>
        <c:crosses val="autoZero"/>
        <c:auto val="1"/>
        <c:lblAlgn val="ctr"/>
        <c:lblOffset val="100"/>
        <c:noMultiLvlLbl val="0"/>
      </c:catAx>
      <c:valAx>
        <c:axId val="71336957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33738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Germany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Germany!$B$1</c:f>
              <c:strCache>
                <c:ptCount val="1"/>
                <c:pt idx="0">
                  <c:v>Liquid Epoxy Resin EEW 185 FOB Hamburg</c:v>
                </c:pt>
              </c:strCache>
            </c:strRef>
          </c:tx>
          <c:spPr>
            <a:ln w="28575" cap="rnd">
              <a:solidFill>
                <a:schemeClr val="accent2"/>
              </a:solidFill>
              <a:round/>
            </a:ln>
            <a:effectLst/>
          </c:spPr>
          <c:marker>
            <c:symbol val="none"/>
          </c:marker>
          <c:cat>
            <c:numRef>
              <c:f>Germany!$A$2:$A$17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Germany!$B$2:$B$17</c:f>
              <c:numCache>
                <c:formatCode>0</c:formatCode>
                <c:ptCount val="16"/>
                <c:pt idx="0">
                  <c:v>3718</c:v>
                </c:pt>
                <c:pt idx="1">
                  <c:v>3839</c:v>
                </c:pt>
                <c:pt idx="2">
                  <c:v>4306</c:v>
                </c:pt>
                <c:pt idx="3">
                  <c:v>5813</c:v>
                </c:pt>
                <c:pt idx="4">
                  <c:v>5367</c:v>
                </c:pt>
                <c:pt idx="5">
                  <c:v>4303</c:v>
                </c:pt>
                <c:pt idx="6">
                  <c:v>5714</c:v>
                </c:pt>
                <c:pt idx="7">
                  <c:v>5817.9948000000004</c:v>
                </c:pt>
                <c:pt idx="8">
                  <c:v>5923.8823053600008</c:v>
                </c:pt>
                <c:pt idx="9">
                  <c:v>6031.6969633175531</c:v>
                </c:pt>
                <c:pt idx="10">
                  <c:v>6141.4738480499327</c:v>
                </c:pt>
                <c:pt idx="11">
                  <c:v>6253.2486720844418</c:v>
                </c:pt>
                <c:pt idx="12">
                  <c:v>6367.0577979163781</c:v>
                </c:pt>
                <c:pt idx="13">
                  <c:v>6482.9382498384566</c:v>
                </c:pt>
                <c:pt idx="14">
                  <c:v>6600.9277259855162</c:v>
                </c:pt>
                <c:pt idx="15">
                  <c:v>6721.0646105984524</c:v>
                </c:pt>
              </c:numCache>
            </c:numRef>
          </c:val>
          <c:smooth val="0"/>
          <c:extLst>
            <c:ext xmlns:c16="http://schemas.microsoft.com/office/drawing/2014/chart" uri="{C3380CC4-5D6E-409C-BE32-E72D297353CC}">
              <c16:uniqueId val="{00000000-4B31-4DBA-B4F7-EB954FF5D988}"/>
            </c:ext>
          </c:extLst>
        </c:ser>
        <c:ser>
          <c:idx val="2"/>
          <c:order val="2"/>
          <c:tx>
            <c:strRef>
              <c:f>Germany!$C$1</c:f>
              <c:strCache>
                <c:ptCount val="1"/>
                <c:pt idx="0">
                  <c:v>Solid epoxy Epoxy Resin EEW 860 FOB Hamburg</c:v>
                </c:pt>
              </c:strCache>
            </c:strRef>
          </c:tx>
          <c:spPr>
            <a:ln w="28575" cap="rnd">
              <a:solidFill>
                <a:schemeClr val="accent3"/>
              </a:solidFill>
              <a:round/>
            </a:ln>
            <a:effectLst/>
          </c:spPr>
          <c:marker>
            <c:symbol val="none"/>
          </c:marker>
          <c:cat>
            <c:numRef>
              <c:f>Germany!$A$2:$A$17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Germany!$C$2:$C$17</c:f>
              <c:numCache>
                <c:formatCode>0</c:formatCode>
                <c:ptCount val="16"/>
                <c:pt idx="0">
                  <c:v>4844</c:v>
                </c:pt>
                <c:pt idx="1">
                  <c:v>4913</c:v>
                </c:pt>
                <c:pt idx="2">
                  <c:v>5415</c:v>
                </c:pt>
                <c:pt idx="3">
                  <c:v>6618</c:v>
                </c:pt>
                <c:pt idx="4">
                  <c:v>6284</c:v>
                </c:pt>
                <c:pt idx="5">
                  <c:v>5144</c:v>
                </c:pt>
                <c:pt idx="6">
                  <c:v>6424</c:v>
                </c:pt>
                <c:pt idx="7">
                  <c:v>6532.5655999999999</c:v>
                </c:pt>
                <c:pt idx="8">
                  <c:v>6642.9659586400003</c:v>
                </c:pt>
                <c:pt idx="9">
                  <c:v>6755.2320833410158</c:v>
                </c:pt>
                <c:pt idx="10">
                  <c:v>6869.3955055494789</c:v>
                </c:pt>
                <c:pt idx="11">
                  <c:v>6985.4882895932651</c:v>
                </c:pt>
                <c:pt idx="12">
                  <c:v>7103.5430416873915</c:v>
                </c:pt>
                <c:pt idx="13">
                  <c:v>7223.5929190919087</c:v>
                </c:pt>
                <c:pt idx="14">
                  <c:v>7345.6716394245623</c:v>
                </c:pt>
                <c:pt idx="15">
                  <c:v>7469.8134901308376</c:v>
                </c:pt>
              </c:numCache>
            </c:numRef>
          </c:val>
          <c:smooth val="0"/>
          <c:extLst>
            <c:ext xmlns:c16="http://schemas.microsoft.com/office/drawing/2014/chart" uri="{C3380CC4-5D6E-409C-BE32-E72D297353CC}">
              <c16:uniqueId val="{00000001-4B31-4DBA-B4F7-EB954FF5D988}"/>
            </c:ext>
          </c:extLst>
        </c:ser>
        <c:ser>
          <c:idx val="3"/>
          <c:order val="3"/>
          <c:tx>
            <c:strRef>
              <c:f>Germany!$D$1</c:f>
              <c:strCache>
                <c:ptCount val="1"/>
                <c:pt idx="0">
                  <c:v>Semi-Solid Epoxy Resin EEW 335 FOB Hamburg</c:v>
                </c:pt>
              </c:strCache>
            </c:strRef>
          </c:tx>
          <c:spPr>
            <a:ln w="28575" cap="rnd">
              <a:solidFill>
                <a:schemeClr val="accent4"/>
              </a:solidFill>
              <a:round/>
            </a:ln>
            <a:effectLst/>
          </c:spPr>
          <c:marker>
            <c:symbol val="none"/>
          </c:marker>
          <c:cat>
            <c:numRef>
              <c:f>Germany!$A$2:$A$17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Germany!$D$2:$D$17</c:f>
              <c:numCache>
                <c:formatCode>0</c:formatCode>
                <c:ptCount val="16"/>
                <c:pt idx="0">
                  <c:v>3040</c:v>
                </c:pt>
                <c:pt idx="1">
                  <c:v>3224</c:v>
                </c:pt>
                <c:pt idx="2">
                  <c:v>3627</c:v>
                </c:pt>
                <c:pt idx="3">
                  <c:v>5295</c:v>
                </c:pt>
                <c:pt idx="4">
                  <c:v>4684</c:v>
                </c:pt>
                <c:pt idx="5">
                  <c:v>3690</c:v>
                </c:pt>
                <c:pt idx="6">
                  <c:v>5048</c:v>
                </c:pt>
                <c:pt idx="7">
                  <c:v>5135.3303999999998</c:v>
                </c:pt>
                <c:pt idx="8">
                  <c:v>5224.1716159199996</c:v>
                </c:pt>
                <c:pt idx="9">
                  <c:v>5314.5497848754158</c:v>
                </c:pt>
                <c:pt idx="10">
                  <c:v>5406.4914961537606</c:v>
                </c:pt>
                <c:pt idx="11">
                  <c:v>5500.0237990372207</c:v>
                </c:pt>
                <c:pt idx="12">
                  <c:v>5595.1742107605642</c:v>
                </c:pt>
                <c:pt idx="13">
                  <c:v>5691.9707246067219</c:v>
                </c:pt>
                <c:pt idx="14">
                  <c:v>5790.441818142418</c:v>
                </c:pt>
                <c:pt idx="15">
                  <c:v>5890.6164615962816</c:v>
                </c:pt>
              </c:numCache>
            </c:numRef>
          </c:val>
          <c:smooth val="0"/>
          <c:extLst>
            <c:ext xmlns:c16="http://schemas.microsoft.com/office/drawing/2014/chart" uri="{C3380CC4-5D6E-409C-BE32-E72D297353CC}">
              <c16:uniqueId val="{00000002-4B31-4DBA-B4F7-EB954FF5D988}"/>
            </c:ext>
          </c:extLst>
        </c:ser>
        <c:dLbls>
          <c:showLegendKey val="0"/>
          <c:showVal val="0"/>
          <c:showCatName val="0"/>
          <c:showSerName val="0"/>
          <c:showPercent val="0"/>
          <c:showBubbleSize val="0"/>
        </c:dLbls>
        <c:smooth val="0"/>
        <c:axId val="1017779248"/>
        <c:axId val="1017780080"/>
        <c:extLst>
          <c:ext xmlns:c15="http://schemas.microsoft.com/office/drawing/2012/chart" uri="{02D57815-91ED-43cb-92C2-25804820EDAC}">
            <c15:filteredLineSeries>
              <c15:ser>
                <c:idx val="0"/>
                <c:order val="0"/>
                <c:tx>
                  <c:strRef>
                    <c:extLst>
                      <c:ext uri="{02D57815-91ED-43cb-92C2-25804820EDAC}">
                        <c15:formulaRef>
                          <c15:sqref>Germany!$A$1</c15:sqref>
                        </c15:formulaRef>
                      </c:ext>
                    </c:extLst>
                    <c:strCache>
                      <c:ptCount val="1"/>
                      <c:pt idx="0">
                        <c:v>Yearly</c:v>
                      </c:pt>
                    </c:strCache>
                  </c:strRef>
                </c:tx>
                <c:spPr>
                  <a:ln w="28575" cap="rnd">
                    <a:solidFill>
                      <a:schemeClr val="accent1"/>
                    </a:solidFill>
                    <a:round/>
                  </a:ln>
                  <a:effectLst/>
                </c:spPr>
                <c:marker>
                  <c:symbol val="none"/>
                </c:marker>
                <c:cat>
                  <c:numRef>
                    <c:extLst>
                      <c:ext uri="{02D57815-91ED-43cb-92C2-25804820EDAC}">
                        <c15:formulaRef>
                          <c15:sqref>Germany!$A$2:$A$17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extLst>
                      <c:ext uri="{02D57815-91ED-43cb-92C2-25804820EDAC}">
                        <c15:formulaRef>
                          <c15:sqref>Germany!$A$2:$A$17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val>
                <c:smooth val="0"/>
                <c:extLst>
                  <c:ext xmlns:c16="http://schemas.microsoft.com/office/drawing/2014/chart" uri="{C3380CC4-5D6E-409C-BE32-E72D297353CC}">
                    <c16:uniqueId val="{00000003-4B31-4DBA-B4F7-EB954FF5D988}"/>
                  </c:ext>
                </c:extLst>
              </c15:ser>
            </c15:filteredLineSeries>
          </c:ext>
        </c:extLst>
      </c:lineChart>
      <c:catAx>
        <c:axId val="101777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780080"/>
        <c:crosses val="autoZero"/>
        <c:auto val="1"/>
        <c:lblAlgn val="ctr"/>
        <c:lblOffset val="100"/>
        <c:noMultiLvlLbl val="0"/>
      </c:catAx>
      <c:valAx>
        <c:axId val="10177800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7792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USA Title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USA!$B$1</c:f>
              <c:strCache>
                <c:ptCount val="1"/>
                <c:pt idx="0">
                  <c:v>Liquid Epoxy Resin EEW 185 FOB Texas</c:v>
                </c:pt>
              </c:strCache>
            </c:strRef>
          </c:tx>
          <c:spPr>
            <a:ln w="28575" cap="rnd">
              <a:solidFill>
                <a:schemeClr val="accent2"/>
              </a:solidFill>
              <a:round/>
            </a:ln>
            <a:effectLst/>
          </c:spPr>
          <c:marker>
            <c:symbol val="none"/>
          </c:marker>
          <c:cat>
            <c:numRef>
              <c:f>USA!$A$2:$A$17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USA!$B$2:$B$17</c:f>
              <c:numCache>
                <c:formatCode>0</c:formatCode>
                <c:ptCount val="16"/>
                <c:pt idx="0">
                  <c:v>3611</c:v>
                </c:pt>
                <c:pt idx="1">
                  <c:v>3736</c:v>
                </c:pt>
                <c:pt idx="2">
                  <c:v>4203</c:v>
                </c:pt>
                <c:pt idx="3">
                  <c:v>5319</c:v>
                </c:pt>
                <c:pt idx="4">
                  <c:v>5266</c:v>
                </c:pt>
                <c:pt idx="5">
                  <c:v>4180</c:v>
                </c:pt>
                <c:pt idx="6">
                  <c:v>5569</c:v>
                </c:pt>
                <c:pt idx="7">
                  <c:v>5663.6729999999998</c:v>
                </c:pt>
                <c:pt idx="8">
                  <c:v>5759.9554410000001</c:v>
                </c:pt>
                <c:pt idx="9">
                  <c:v>5857.8746834969998</c:v>
                </c:pt>
                <c:pt idx="10">
                  <c:v>5957.4585531164485</c:v>
                </c:pt>
                <c:pt idx="11">
                  <c:v>6058.735348519428</c:v>
                </c:pt>
                <c:pt idx="12">
                  <c:v>6161.7338494442583</c:v>
                </c:pt>
                <c:pt idx="13">
                  <c:v>6266.4833248848108</c:v>
                </c:pt>
                <c:pt idx="14">
                  <c:v>6373.0135414078522</c:v>
                </c:pt>
                <c:pt idx="15">
                  <c:v>6481.3547716117855</c:v>
                </c:pt>
              </c:numCache>
            </c:numRef>
          </c:val>
          <c:smooth val="0"/>
          <c:extLst>
            <c:ext xmlns:c16="http://schemas.microsoft.com/office/drawing/2014/chart" uri="{C3380CC4-5D6E-409C-BE32-E72D297353CC}">
              <c16:uniqueId val="{00000000-7B46-433A-9F3E-9689F6E8E11C}"/>
            </c:ext>
          </c:extLst>
        </c:ser>
        <c:ser>
          <c:idx val="2"/>
          <c:order val="2"/>
          <c:tx>
            <c:strRef>
              <c:f>USA!$C$1</c:f>
              <c:strCache>
                <c:ptCount val="1"/>
                <c:pt idx="0">
                  <c:v>Solid epoxy Epoxy Resin EEW 860 FOB Texas</c:v>
                </c:pt>
              </c:strCache>
            </c:strRef>
          </c:tx>
          <c:spPr>
            <a:ln w="28575" cap="rnd">
              <a:solidFill>
                <a:schemeClr val="accent3"/>
              </a:solidFill>
              <a:round/>
            </a:ln>
            <a:effectLst/>
          </c:spPr>
          <c:marker>
            <c:symbol val="none"/>
          </c:marker>
          <c:cat>
            <c:numRef>
              <c:f>USA!$A$2:$A$17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USA!$C$2:$C$17</c:f>
              <c:numCache>
                <c:formatCode>0</c:formatCode>
                <c:ptCount val="16"/>
                <c:pt idx="0">
                  <c:v>4745</c:v>
                </c:pt>
                <c:pt idx="1">
                  <c:v>4814</c:v>
                </c:pt>
                <c:pt idx="2">
                  <c:v>5325</c:v>
                </c:pt>
                <c:pt idx="3">
                  <c:v>6220</c:v>
                </c:pt>
                <c:pt idx="4">
                  <c:v>6164</c:v>
                </c:pt>
                <c:pt idx="5">
                  <c:v>4989</c:v>
                </c:pt>
                <c:pt idx="6">
                  <c:v>6349</c:v>
                </c:pt>
                <c:pt idx="7">
                  <c:v>6447.4094999999998</c:v>
                </c:pt>
                <c:pt idx="8">
                  <c:v>6547.3443472499994</c:v>
                </c:pt>
                <c:pt idx="9">
                  <c:v>6648.8281846323744</c:v>
                </c:pt>
                <c:pt idx="10">
                  <c:v>6751.8850214941758</c:v>
                </c:pt>
                <c:pt idx="11">
                  <c:v>6856.539239327336</c:v>
                </c:pt>
                <c:pt idx="12">
                  <c:v>6962.81559753691</c:v>
                </c:pt>
                <c:pt idx="13">
                  <c:v>7070.7392392987322</c:v>
                </c:pt>
                <c:pt idx="14">
                  <c:v>7180.3356975078623</c:v>
                </c:pt>
                <c:pt idx="15">
                  <c:v>7291.6309008192338</c:v>
                </c:pt>
              </c:numCache>
            </c:numRef>
          </c:val>
          <c:smooth val="0"/>
          <c:extLst>
            <c:ext xmlns:c16="http://schemas.microsoft.com/office/drawing/2014/chart" uri="{C3380CC4-5D6E-409C-BE32-E72D297353CC}">
              <c16:uniqueId val="{00000001-7B46-433A-9F3E-9689F6E8E11C}"/>
            </c:ext>
          </c:extLst>
        </c:ser>
        <c:ser>
          <c:idx val="3"/>
          <c:order val="3"/>
          <c:tx>
            <c:strRef>
              <c:f>USA!$D$1</c:f>
              <c:strCache>
                <c:ptCount val="1"/>
                <c:pt idx="0">
                  <c:v>Semi-Solid Epoxy Resin EEW 335 FOB Texas</c:v>
                </c:pt>
              </c:strCache>
            </c:strRef>
          </c:tx>
          <c:spPr>
            <a:ln w="28575" cap="rnd">
              <a:solidFill>
                <a:schemeClr val="accent4"/>
              </a:solidFill>
              <a:round/>
            </a:ln>
            <a:effectLst/>
          </c:spPr>
          <c:marker>
            <c:symbol val="none"/>
          </c:marker>
          <c:cat>
            <c:numRef>
              <c:f>USA!$A$2:$A$17</c:f>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f>USA!$D$2:$D$17</c:f>
              <c:numCache>
                <c:formatCode>0</c:formatCode>
                <c:ptCount val="16"/>
                <c:pt idx="0">
                  <c:v>2932</c:v>
                </c:pt>
                <c:pt idx="1">
                  <c:v>3120</c:v>
                </c:pt>
                <c:pt idx="2">
                  <c:v>3523</c:v>
                </c:pt>
                <c:pt idx="3">
                  <c:v>5055</c:v>
                </c:pt>
                <c:pt idx="4">
                  <c:v>4581</c:v>
                </c:pt>
                <c:pt idx="5">
                  <c:v>3566</c:v>
                </c:pt>
                <c:pt idx="6">
                  <c:v>4902</c:v>
                </c:pt>
                <c:pt idx="7">
                  <c:v>4988.7654000000002</c:v>
                </c:pt>
                <c:pt idx="8">
                  <c:v>5077.0665475800006</c:v>
                </c:pt>
                <c:pt idx="9">
                  <c:v>5166.9306254721669</c:v>
                </c:pt>
                <c:pt idx="10">
                  <c:v>5258.3852975430245</c:v>
                </c:pt>
                <c:pt idx="11">
                  <c:v>5351.458717309536</c:v>
                </c:pt>
                <c:pt idx="12">
                  <c:v>5446.179536605915</c:v>
                </c:pt>
                <c:pt idx="13">
                  <c:v>5542.5769144038395</c:v>
                </c:pt>
                <c:pt idx="14">
                  <c:v>5640.6805257887872</c:v>
                </c:pt>
                <c:pt idx="15">
                  <c:v>5740.5205710952487</c:v>
                </c:pt>
              </c:numCache>
            </c:numRef>
          </c:val>
          <c:smooth val="0"/>
          <c:extLst>
            <c:ext xmlns:c16="http://schemas.microsoft.com/office/drawing/2014/chart" uri="{C3380CC4-5D6E-409C-BE32-E72D297353CC}">
              <c16:uniqueId val="{00000002-7B46-433A-9F3E-9689F6E8E11C}"/>
            </c:ext>
          </c:extLst>
        </c:ser>
        <c:dLbls>
          <c:showLegendKey val="0"/>
          <c:showVal val="0"/>
          <c:showCatName val="0"/>
          <c:showSerName val="0"/>
          <c:showPercent val="0"/>
          <c:showBubbleSize val="0"/>
        </c:dLbls>
        <c:smooth val="0"/>
        <c:axId val="851237104"/>
        <c:axId val="686131248"/>
        <c:extLst>
          <c:ext xmlns:c15="http://schemas.microsoft.com/office/drawing/2012/chart" uri="{02D57815-91ED-43cb-92C2-25804820EDAC}">
            <c15:filteredLineSeries>
              <c15:ser>
                <c:idx val="0"/>
                <c:order val="0"/>
                <c:tx>
                  <c:strRef>
                    <c:extLst>
                      <c:ext uri="{02D57815-91ED-43cb-92C2-25804820EDAC}">
                        <c15:formulaRef>
                          <c15:sqref>USA!$A$1</c15:sqref>
                        </c15:formulaRef>
                      </c:ext>
                    </c:extLst>
                    <c:strCache>
                      <c:ptCount val="1"/>
                      <c:pt idx="0">
                        <c:v>Yearly</c:v>
                      </c:pt>
                    </c:strCache>
                  </c:strRef>
                </c:tx>
                <c:spPr>
                  <a:ln w="28575" cap="rnd">
                    <a:solidFill>
                      <a:schemeClr val="accent1"/>
                    </a:solidFill>
                    <a:round/>
                  </a:ln>
                  <a:effectLst/>
                </c:spPr>
                <c:marker>
                  <c:symbol val="none"/>
                </c:marker>
                <c:cat>
                  <c:numRef>
                    <c:extLst>
                      <c:ext uri="{02D57815-91ED-43cb-92C2-25804820EDAC}">
                        <c15:formulaRef>
                          <c15:sqref>USA!$A$2:$A$17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cat>
                <c:val>
                  <c:numRef>
                    <c:extLst>
                      <c:ext uri="{02D57815-91ED-43cb-92C2-25804820EDAC}">
                        <c15:formulaRef>
                          <c15:sqref>USA!$A$2:$A$17</c15:sqref>
                        </c15:formulaRef>
                      </c:ext>
                    </c:extLst>
                    <c:numCache>
                      <c:formatCode>General</c:formatCode>
                      <c:ptCount val="1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numCache>
                  </c:numRef>
                </c:val>
                <c:smooth val="0"/>
                <c:extLst>
                  <c:ext xmlns:c16="http://schemas.microsoft.com/office/drawing/2014/chart" uri="{C3380CC4-5D6E-409C-BE32-E72D297353CC}">
                    <c16:uniqueId val="{00000003-7B46-433A-9F3E-9689F6E8E11C}"/>
                  </c:ext>
                </c:extLst>
              </c15:ser>
            </c15:filteredLineSeries>
          </c:ext>
        </c:extLst>
      </c:lineChart>
      <c:catAx>
        <c:axId val="851237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6131248"/>
        <c:crosses val="autoZero"/>
        <c:auto val="1"/>
        <c:lblAlgn val="ctr"/>
        <c:lblOffset val="100"/>
        <c:noMultiLvlLbl val="0"/>
      </c:catAx>
      <c:valAx>
        <c:axId val="68613124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12371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292100</xdr:colOff>
      <xdr:row>29</xdr:row>
      <xdr:rowOff>180974</xdr:rowOff>
    </xdr:to>
    <xdr:pic>
      <xdr:nvPicPr>
        <xdr:cNvPr id="2" name="Graphic 1">
          <a:extLst>
            <a:ext uri="{FF2B5EF4-FFF2-40B4-BE49-F238E27FC236}">
              <a16:creationId xmlns:a16="http://schemas.microsoft.com/office/drawing/2014/main" id="{BF1CDF1B-09B3-41F8-A839-3505D1C3A1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7607300" cy="57054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551542</xdr:colOff>
      <xdr:row>4</xdr:row>
      <xdr:rowOff>65542</xdr:rowOff>
    </xdr:from>
    <xdr:to>
      <xdr:col>16</xdr:col>
      <xdr:colOff>416378</xdr:colOff>
      <xdr:row>20</xdr:row>
      <xdr:rowOff>175080</xdr:rowOff>
    </xdr:to>
    <xdr:graphicFrame macro="">
      <xdr:nvGraphicFramePr>
        <xdr:cNvPr id="2" name="Chart 1">
          <a:extLst>
            <a:ext uri="{FF2B5EF4-FFF2-40B4-BE49-F238E27FC236}">
              <a16:creationId xmlns:a16="http://schemas.microsoft.com/office/drawing/2014/main" id="{D5D8F7BD-D8E4-4824-B945-C370C6B885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133350</xdr:colOff>
      <xdr:row>5</xdr:row>
      <xdr:rowOff>76200</xdr:rowOff>
    </xdr:from>
    <xdr:to>
      <xdr:col>21</xdr:col>
      <xdr:colOff>419100</xdr:colOff>
      <xdr:row>19</xdr:row>
      <xdr:rowOff>152400</xdr:rowOff>
    </xdr:to>
    <xdr:graphicFrame macro="">
      <xdr:nvGraphicFramePr>
        <xdr:cNvPr id="2" name="Chart 1">
          <a:extLst>
            <a:ext uri="{FF2B5EF4-FFF2-40B4-BE49-F238E27FC236}">
              <a16:creationId xmlns:a16="http://schemas.microsoft.com/office/drawing/2014/main" id="{5F91489A-AFDF-47FC-A329-ED14B6EA49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7</xdr:col>
      <xdr:colOff>142875</xdr:colOff>
      <xdr:row>1</xdr:row>
      <xdr:rowOff>57150</xdr:rowOff>
    </xdr:from>
    <xdr:to>
      <xdr:col>22</xdr:col>
      <xdr:colOff>257175</xdr:colOff>
      <xdr:row>21</xdr:row>
      <xdr:rowOff>180975</xdr:rowOff>
    </xdr:to>
    <xdr:graphicFrame macro="">
      <xdr:nvGraphicFramePr>
        <xdr:cNvPr id="2" name="Chart 1">
          <a:extLst>
            <a:ext uri="{FF2B5EF4-FFF2-40B4-BE49-F238E27FC236}">
              <a16:creationId xmlns:a16="http://schemas.microsoft.com/office/drawing/2014/main" id="{1120ACC8-6E59-49A6-A766-BA581B4B45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247649</xdr:colOff>
      <xdr:row>8</xdr:row>
      <xdr:rowOff>42861</xdr:rowOff>
    </xdr:from>
    <xdr:to>
      <xdr:col>16</xdr:col>
      <xdr:colOff>381000</xdr:colOff>
      <xdr:row>22</xdr:row>
      <xdr:rowOff>161924</xdr:rowOff>
    </xdr:to>
    <xdr:graphicFrame macro="">
      <xdr:nvGraphicFramePr>
        <xdr:cNvPr id="2" name="Chart 1">
          <a:extLst>
            <a:ext uri="{FF2B5EF4-FFF2-40B4-BE49-F238E27FC236}">
              <a16:creationId xmlns:a16="http://schemas.microsoft.com/office/drawing/2014/main" id="{04B7C7EF-11D8-43BC-9EAE-BD6EDA196E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571500</xdr:colOff>
      <xdr:row>5</xdr:row>
      <xdr:rowOff>95250</xdr:rowOff>
    </xdr:from>
    <xdr:to>
      <xdr:col>13</xdr:col>
      <xdr:colOff>504826</xdr:colOff>
      <xdr:row>19</xdr:row>
      <xdr:rowOff>171450</xdr:rowOff>
    </xdr:to>
    <xdr:graphicFrame macro="">
      <xdr:nvGraphicFramePr>
        <xdr:cNvPr id="2" name="Chart 1">
          <a:extLst>
            <a:ext uri="{FF2B5EF4-FFF2-40B4-BE49-F238E27FC236}">
              <a16:creationId xmlns:a16="http://schemas.microsoft.com/office/drawing/2014/main" id="{6186D7CC-0B3E-4FD8-AF70-B7BB48DD3D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28574</xdr:colOff>
      <xdr:row>3</xdr:row>
      <xdr:rowOff>100012</xdr:rowOff>
    </xdr:from>
    <xdr:to>
      <xdr:col>13</xdr:col>
      <xdr:colOff>257175</xdr:colOff>
      <xdr:row>17</xdr:row>
      <xdr:rowOff>176212</xdr:rowOff>
    </xdr:to>
    <xdr:graphicFrame macro="">
      <xdr:nvGraphicFramePr>
        <xdr:cNvPr id="2" name="Chart 1">
          <a:extLst>
            <a:ext uri="{FF2B5EF4-FFF2-40B4-BE49-F238E27FC236}">
              <a16:creationId xmlns:a16="http://schemas.microsoft.com/office/drawing/2014/main" id="{78E74349-70FC-4FAB-9FB6-BC5155F17E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jaideep.kumar.TECHSCIRESEARCH\AppData\Local\Microsoft\Windows\INetCache\Content.Outlook\MJHP96NZ\Epoxy%20Resin%20Price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4"/>
      <sheetName val="Raw Material Prices "/>
      <sheetName val="Sheet3"/>
      <sheetName val="Epoxy Resin Prices "/>
    </sheetNames>
    <sheetDataSet>
      <sheetData sheetId="0">
        <row r="79">
          <cell r="C79" t="str">
            <v>Bisphenol A CFR JNPT</v>
          </cell>
          <cell r="D79" t="str">
            <v>Epichlorohydrin CFR JNPT</v>
          </cell>
          <cell r="E79" t="str">
            <v>Caustic Soda Lye Ex-JNPT</v>
          </cell>
        </row>
        <row r="80">
          <cell r="A80">
            <v>2017</v>
          </cell>
          <cell r="B80" t="str">
            <v>April</v>
          </cell>
          <cell r="C80">
            <v>913.0544041450778</v>
          </cell>
          <cell r="D80">
            <v>1027.0194552529183</v>
          </cell>
          <cell r="E80">
            <v>600.45207686054243</v>
          </cell>
        </row>
        <row r="81">
          <cell r="B81" t="str">
            <v>May</v>
          </cell>
          <cell r="C81">
            <v>987.00772489409417</v>
          </cell>
          <cell r="D81">
            <v>1013.581225668394</v>
          </cell>
          <cell r="E81">
            <v>614.11296000000004</v>
          </cell>
        </row>
        <row r="82">
          <cell r="B82" t="str">
            <v>June</v>
          </cell>
          <cell r="C82">
            <v>1117.52457727094</v>
          </cell>
          <cell r="D82">
            <v>1024.5950137867649</v>
          </cell>
          <cell r="E82">
            <v>601.15355745239651</v>
          </cell>
        </row>
        <row r="83">
          <cell r="B83" t="str">
            <v>July</v>
          </cell>
          <cell r="C83">
            <v>1215.7526041666667</v>
          </cell>
          <cell r="D83">
            <v>1011.6024847051759</v>
          </cell>
          <cell r="E83">
            <v>616.2107041105354</v>
          </cell>
        </row>
        <row r="84">
          <cell r="B84" t="str">
            <v>August</v>
          </cell>
          <cell r="C84">
            <v>1167.677658142665</v>
          </cell>
          <cell r="D84">
            <v>993.44937284130162</v>
          </cell>
          <cell r="E84">
            <v>571.23</v>
          </cell>
        </row>
        <row r="85">
          <cell r="B85" t="str">
            <v>September</v>
          </cell>
          <cell r="C85">
            <v>1203.1596346131887</v>
          </cell>
          <cell r="D85">
            <v>1140.442794279428</v>
          </cell>
          <cell r="E85">
            <v>548.34</v>
          </cell>
        </row>
        <row r="86">
          <cell r="B86" t="str">
            <v>October</v>
          </cell>
          <cell r="C86">
            <v>1185.1100047415837</v>
          </cell>
          <cell r="D86">
            <v>957.26522222596623</v>
          </cell>
          <cell r="E86">
            <v>526</v>
          </cell>
        </row>
        <row r="87">
          <cell r="B87" t="str">
            <v>November</v>
          </cell>
          <cell r="C87">
            <v>1088.4660654959659</v>
          </cell>
          <cell r="D87">
            <v>966.31766005475242</v>
          </cell>
          <cell r="E87">
            <v>503.24</v>
          </cell>
        </row>
        <row r="88">
          <cell r="B88" t="str">
            <v>December</v>
          </cell>
          <cell r="C88">
            <v>1027.2162321113508</v>
          </cell>
          <cell r="D88">
            <v>1038.0427728613568</v>
          </cell>
          <cell r="E88">
            <v>480.35</v>
          </cell>
        </row>
        <row r="89">
          <cell r="B89" t="str">
            <v>January</v>
          </cell>
          <cell r="C89">
            <v>994.10555264536401</v>
          </cell>
          <cell r="D89">
            <v>1041.1454102355808</v>
          </cell>
          <cell r="E89">
            <v>435.82289012142104</v>
          </cell>
        </row>
        <row r="90">
          <cell r="B90" t="str">
            <v>February</v>
          </cell>
          <cell r="C90">
            <v>1468.4495247880811</v>
          </cell>
          <cell r="D90">
            <v>1075.6663503838524</v>
          </cell>
          <cell r="E90">
            <v>455.43201573504223</v>
          </cell>
        </row>
        <row r="91">
          <cell r="B91" t="str">
            <v>March</v>
          </cell>
          <cell r="C91">
            <v>1300.7059579939992</v>
          </cell>
          <cell r="D91">
            <v>1207.0910290237466</v>
          </cell>
          <cell r="E91">
            <v>495.03682701081999</v>
          </cell>
        </row>
        <row r="92">
          <cell r="A92">
            <v>2018</v>
          </cell>
          <cell r="B92" t="str">
            <v>April</v>
          </cell>
          <cell r="C92">
            <v>1473.8604256922208</v>
          </cell>
          <cell r="D92">
            <v>1070.6653497351172</v>
          </cell>
          <cell r="E92">
            <v>502.64183623178207</v>
          </cell>
        </row>
        <row r="93">
          <cell r="B93" t="str">
            <v>May</v>
          </cell>
          <cell r="C93">
            <v>1461.3684012066367</v>
          </cell>
          <cell r="D93">
            <v>1064.4138613861387</v>
          </cell>
          <cell r="E93">
            <v>517.42976090443813</v>
          </cell>
        </row>
        <row r="94">
          <cell r="B94" t="str">
            <v>June</v>
          </cell>
          <cell r="C94">
            <v>1248.4952330508474</v>
          </cell>
          <cell r="D94">
            <v>1078.1075861195541</v>
          </cell>
          <cell r="E94">
            <v>543.23092532467535</v>
          </cell>
        </row>
        <row r="95">
          <cell r="B95" t="str">
            <v>July</v>
          </cell>
          <cell r="C95">
            <v>1063.5023277467412</v>
          </cell>
          <cell r="D95">
            <v>1085.2192638997651</v>
          </cell>
          <cell r="E95">
            <v>537.38865959743475</v>
          </cell>
        </row>
        <row r="96">
          <cell r="B96" t="str">
            <v>August</v>
          </cell>
          <cell r="C96">
            <v>973.37102922490476</v>
          </cell>
          <cell r="D96">
            <v>1075.2119473066389</v>
          </cell>
          <cell r="E96">
            <v>536.49979760362703</v>
          </cell>
        </row>
        <row r="97">
          <cell r="B97" t="str">
            <v>September</v>
          </cell>
          <cell r="C97">
            <v>1081.2665112665111</v>
          </cell>
          <cell r="D97">
            <v>1077.3234599699506</v>
          </cell>
          <cell r="E97">
            <v>530.32455304387599</v>
          </cell>
        </row>
        <row r="98">
          <cell r="B98" t="str">
            <v>October</v>
          </cell>
          <cell r="C98">
            <v>1135.3901270069496</v>
          </cell>
          <cell r="D98">
            <v>1238.6600000000001</v>
          </cell>
          <cell r="E98">
            <v>529.00975043528729</v>
          </cell>
        </row>
        <row r="99">
          <cell r="B99" t="str">
            <v>November</v>
          </cell>
          <cell r="C99">
            <v>1191.7731149778233</v>
          </cell>
          <cell r="D99">
            <v>1407.44</v>
          </cell>
          <cell r="E99">
            <v>557.44133647874435</v>
          </cell>
        </row>
        <row r="100">
          <cell r="B100" t="str">
            <v>December</v>
          </cell>
          <cell r="C100">
            <v>1252.6720588235294</v>
          </cell>
          <cell r="D100">
            <v>1562.34</v>
          </cell>
          <cell r="E100">
            <v>671.94838410651835</v>
          </cell>
        </row>
        <row r="101">
          <cell r="B101" t="str">
            <v>January</v>
          </cell>
          <cell r="C101">
            <v>1359.0586245772267</v>
          </cell>
          <cell r="D101">
            <v>1724.5806911129491</v>
          </cell>
          <cell r="E101">
            <v>787.28994261552396</v>
          </cell>
        </row>
        <row r="102">
          <cell r="B102" t="str">
            <v>February</v>
          </cell>
          <cell r="C102">
            <v>1324.34</v>
          </cell>
          <cell r="D102">
            <v>2045.9768427919114</v>
          </cell>
          <cell r="E102">
            <v>735.51236985385424</v>
          </cell>
        </row>
        <row r="103">
          <cell r="B103" t="str">
            <v>March</v>
          </cell>
          <cell r="C103">
            <v>1435.45</v>
          </cell>
          <cell r="D103">
            <v>2260.6646595646134</v>
          </cell>
          <cell r="E103">
            <v>778.76</v>
          </cell>
        </row>
        <row r="104">
          <cell r="A104">
            <v>2019</v>
          </cell>
          <cell r="B104" t="str">
            <v>April</v>
          </cell>
          <cell r="C104">
            <v>1367.34</v>
          </cell>
          <cell r="D104">
            <v>2102.8841635338345</v>
          </cell>
          <cell r="E104">
            <v>722.76</v>
          </cell>
        </row>
        <row r="105">
          <cell r="B105" t="str">
            <v>May</v>
          </cell>
          <cell r="C105">
            <v>1327.44</v>
          </cell>
          <cell r="D105">
            <v>2183.7025097060455</v>
          </cell>
          <cell r="E105">
            <v>666.76</v>
          </cell>
        </row>
        <row r="106">
          <cell r="B106" t="str">
            <v>June</v>
          </cell>
          <cell r="C106">
            <v>1398.26</v>
          </cell>
          <cell r="D106">
            <v>2179.3550391316453</v>
          </cell>
          <cell r="E106">
            <v>610.76</v>
          </cell>
        </row>
        <row r="107">
          <cell r="B107" t="str">
            <v>July</v>
          </cell>
          <cell r="C107">
            <v>1497.55</v>
          </cell>
          <cell r="D107">
            <v>2075.2564829612825</v>
          </cell>
          <cell r="E107">
            <v>554.76</v>
          </cell>
        </row>
        <row r="108">
          <cell r="B108" t="str">
            <v>August</v>
          </cell>
          <cell r="C108">
            <v>1536.76</v>
          </cell>
          <cell r="D108">
            <v>2072.0546654099908</v>
          </cell>
          <cell r="E108">
            <v>498.76</v>
          </cell>
        </row>
        <row r="109">
          <cell r="B109" t="str">
            <v>September</v>
          </cell>
          <cell r="C109">
            <v>1416.78</v>
          </cell>
          <cell r="D109">
            <v>1923.4845072959827</v>
          </cell>
          <cell r="E109">
            <v>442.76</v>
          </cell>
        </row>
        <row r="110">
          <cell r="B110" t="str">
            <v>October</v>
          </cell>
          <cell r="C110">
            <v>1384.35</v>
          </cell>
          <cell r="D110">
            <v>1888.34</v>
          </cell>
          <cell r="E110">
            <v>470.53</v>
          </cell>
        </row>
        <row r="111">
          <cell r="B111" t="str">
            <v>November</v>
          </cell>
          <cell r="C111">
            <v>1348.76</v>
          </cell>
          <cell r="D111">
            <v>1854.34</v>
          </cell>
          <cell r="E111">
            <v>443.88</v>
          </cell>
        </row>
        <row r="112">
          <cell r="B112" t="str">
            <v>December</v>
          </cell>
          <cell r="C112">
            <v>1279.98</v>
          </cell>
          <cell r="D112">
            <v>1785.46</v>
          </cell>
          <cell r="E112">
            <v>444.67</v>
          </cell>
        </row>
        <row r="113">
          <cell r="B113" t="str">
            <v>January</v>
          </cell>
          <cell r="C113">
            <v>1143.07</v>
          </cell>
          <cell r="D113">
            <v>1646.92</v>
          </cell>
          <cell r="E113">
            <v>426.71</v>
          </cell>
        </row>
        <row r="114">
          <cell r="B114" t="str">
            <v>February</v>
          </cell>
          <cell r="C114">
            <v>1154.6400000000001</v>
          </cell>
          <cell r="D114">
            <v>1699.17</v>
          </cell>
          <cell r="E114">
            <v>426.06</v>
          </cell>
        </row>
        <row r="115">
          <cell r="B115" t="str">
            <v>March</v>
          </cell>
          <cell r="C115">
            <v>1202.75</v>
          </cell>
          <cell r="D115">
            <v>1675.79</v>
          </cell>
          <cell r="E115">
            <v>439.66</v>
          </cell>
        </row>
        <row r="116">
          <cell r="A116">
            <v>2020</v>
          </cell>
          <cell r="B116" t="str">
            <v>April</v>
          </cell>
          <cell r="C116">
            <v>1213.0899999999999</v>
          </cell>
          <cell r="D116">
            <v>1682.77</v>
          </cell>
          <cell r="E116">
            <v>415.22</v>
          </cell>
        </row>
        <row r="117">
          <cell r="B117" t="str">
            <v>May</v>
          </cell>
          <cell r="C117">
            <v>1184.6500000000001</v>
          </cell>
          <cell r="D117">
            <v>1671.68</v>
          </cell>
          <cell r="E117">
            <v>412.98</v>
          </cell>
        </row>
        <row r="118">
          <cell r="B118" t="str">
            <v>June</v>
          </cell>
          <cell r="C118">
            <v>1179.6300000000001</v>
          </cell>
          <cell r="D118">
            <v>1629.3</v>
          </cell>
          <cell r="E118">
            <v>409.49</v>
          </cell>
        </row>
        <row r="119">
          <cell r="B119" t="str">
            <v>July</v>
          </cell>
          <cell r="C119">
            <v>1210.1500000000001</v>
          </cell>
          <cell r="D119">
            <v>1652.32</v>
          </cell>
          <cell r="E119">
            <v>406.54</v>
          </cell>
        </row>
        <row r="120">
          <cell r="B120" t="str">
            <v>August</v>
          </cell>
          <cell r="C120">
            <v>1206.8900000000001</v>
          </cell>
          <cell r="D120">
            <v>1562.36</v>
          </cell>
          <cell r="E120">
            <v>392.28</v>
          </cell>
        </row>
        <row r="121">
          <cell r="B121" t="str">
            <v>September</v>
          </cell>
          <cell r="C121">
            <v>1208.69</v>
          </cell>
          <cell r="D121">
            <v>1610.66</v>
          </cell>
          <cell r="E121">
            <v>373.25</v>
          </cell>
        </row>
        <row r="122">
          <cell r="B122" t="str">
            <v>October</v>
          </cell>
          <cell r="C122">
            <v>1233.8</v>
          </cell>
          <cell r="D122">
            <v>1547.28</v>
          </cell>
          <cell r="E122">
            <v>380.91</v>
          </cell>
        </row>
        <row r="123">
          <cell r="B123" t="str">
            <v>November</v>
          </cell>
          <cell r="C123">
            <v>1245.28</v>
          </cell>
          <cell r="D123">
            <v>1511.12</v>
          </cell>
          <cell r="E123">
            <v>369.39</v>
          </cell>
        </row>
        <row r="124">
          <cell r="B124" t="str">
            <v>December</v>
          </cell>
          <cell r="C124">
            <v>1269.25</v>
          </cell>
          <cell r="D124">
            <v>1401.45</v>
          </cell>
          <cell r="E124">
            <v>392.08</v>
          </cell>
        </row>
        <row r="125">
          <cell r="B125" t="str">
            <v>January</v>
          </cell>
          <cell r="C125">
            <v>1268.07</v>
          </cell>
          <cell r="D125">
            <v>1442.01</v>
          </cell>
          <cell r="E125">
            <v>386.73</v>
          </cell>
        </row>
        <row r="126">
          <cell r="B126" t="str">
            <v>February</v>
          </cell>
          <cell r="C126">
            <v>1282.32</v>
          </cell>
          <cell r="D126">
            <v>1477.82</v>
          </cell>
          <cell r="E126">
            <v>369.03</v>
          </cell>
        </row>
        <row r="127">
          <cell r="B127" t="str">
            <v>March</v>
          </cell>
          <cell r="C127">
            <v>1218.6300000000001</v>
          </cell>
          <cell r="D127">
            <v>1468.47</v>
          </cell>
          <cell r="E127">
            <v>348.2</v>
          </cell>
        </row>
        <row r="128">
          <cell r="A128">
            <v>2021</v>
          </cell>
          <cell r="B128" t="str">
            <v>April</v>
          </cell>
          <cell r="C128">
            <v>1173.0899999999999</v>
          </cell>
          <cell r="D128">
            <v>1393.9</v>
          </cell>
          <cell r="E128">
            <v>301.77</v>
          </cell>
        </row>
        <row r="129">
          <cell r="B129" t="str">
            <v>May</v>
          </cell>
          <cell r="C129">
            <v>1211.3800000000001</v>
          </cell>
          <cell r="D129">
            <v>1416.6</v>
          </cell>
          <cell r="E129">
            <v>283.58</v>
          </cell>
        </row>
        <row r="130">
          <cell r="B130" t="str">
            <v>June</v>
          </cell>
          <cell r="C130">
            <v>1236.1099999999999</v>
          </cell>
          <cell r="D130">
            <v>1389.31</v>
          </cell>
          <cell r="E130">
            <v>299.77999999999997</v>
          </cell>
        </row>
        <row r="131">
          <cell r="B131" t="str">
            <v>July</v>
          </cell>
          <cell r="C131">
            <v>1259.97</v>
          </cell>
          <cell r="D131">
            <v>1409.46</v>
          </cell>
          <cell r="E131">
            <v>304.31</v>
          </cell>
        </row>
        <row r="132">
          <cell r="B132" t="str">
            <v>August</v>
          </cell>
          <cell r="C132">
            <v>1257.45</v>
          </cell>
          <cell r="D132">
            <v>1402.23</v>
          </cell>
          <cell r="E132">
            <v>337.82</v>
          </cell>
        </row>
        <row r="133">
          <cell r="B133" t="str">
            <v>September</v>
          </cell>
          <cell r="C133">
            <v>1284.92</v>
          </cell>
          <cell r="D133">
            <v>1433.13</v>
          </cell>
          <cell r="E133">
            <v>349.17</v>
          </cell>
        </row>
        <row r="134">
          <cell r="B134" t="str">
            <v>October</v>
          </cell>
          <cell r="C134">
            <v>1271.49</v>
          </cell>
          <cell r="D134">
            <v>1449.64</v>
          </cell>
          <cell r="E134">
            <v>343.78</v>
          </cell>
        </row>
        <row r="135">
          <cell r="B135" t="str">
            <v>November</v>
          </cell>
          <cell r="C135">
            <v>1306.99</v>
          </cell>
          <cell r="D135">
            <v>1447.12</v>
          </cell>
          <cell r="E135">
            <v>288.75</v>
          </cell>
        </row>
        <row r="136">
          <cell r="B136" t="str">
            <v>December</v>
          </cell>
          <cell r="C136">
            <v>1351.3</v>
          </cell>
          <cell r="D136">
            <v>1474.89</v>
          </cell>
          <cell r="E136">
            <v>280.72000000000003</v>
          </cell>
        </row>
        <row r="137">
          <cell r="B137" t="str">
            <v>January</v>
          </cell>
          <cell r="C137">
            <v>1602.16</v>
          </cell>
          <cell r="D137">
            <v>1558.26</v>
          </cell>
          <cell r="E137">
            <v>274.89</v>
          </cell>
        </row>
        <row r="138">
          <cell r="B138" t="str">
            <v>February</v>
          </cell>
          <cell r="C138">
            <v>1874.93</v>
          </cell>
          <cell r="D138">
            <v>1755.97</v>
          </cell>
          <cell r="E138">
            <v>306.17</v>
          </cell>
        </row>
        <row r="139">
          <cell r="B139" t="str">
            <v>March</v>
          </cell>
          <cell r="C139">
            <v>2240.7199999999998</v>
          </cell>
          <cell r="D139">
            <v>1771.1</v>
          </cell>
          <cell r="E139">
            <v>324.48</v>
          </cell>
        </row>
      </sheetData>
      <sheetData sheetId="1"/>
      <sheetData sheetId="2">
        <row r="67">
          <cell r="C67" t="str">
            <v xml:space="preserve">Liquid Epoxy Resin </v>
          </cell>
          <cell r="D67" t="str">
            <v>Solid Epoxy Resin</v>
          </cell>
          <cell r="E67" t="str">
            <v>Semi- Solid Epoxy Resin</v>
          </cell>
        </row>
        <row r="68">
          <cell r="A68">
            <v>2017</v>
          </cell>
          <cell r="B68" t="str">
            <v>April</v>
          </cell>
          <cell r="C68">
            <v>2671</v>
          </cell>
          <cell r="D68">
            <v>2470</v>
          </cell>
          <cell r="E68">
            <v>2548</v>
          </cell>
        </row>
        <row r="69">
          <cell r="B69" t="str">
            <v>May</v>
          </cell>
          <cell r="C69">
            <v>2765</v>
          </cell>
          <cell r="D69">
            <v>2561</v>
          </cell>
          <cell r="E69">
            <v>2639</v>
          </cell>
        </row>
        <row r="70">
          <cell r="B70" t="str">
            <v>June</v>
          </cell>
          <cell r="C70">
            <v>2956</v>
          </cell>
          <cell r="D70">
            <v>2712</v>
          </cell>
          <cell r="E70">
            <v>2792</v>
          </cell>
        </row>
        <row r="71">
          <cell r="B71" t="str">
            <v>July</v>
          </cell>
          <cell r="C71">
            <v>3055</v>
          </cell>
          <cell r="D71">
            <v>2834</v>
          </cell>
          <cell r="E71">
            <v>2915</v>
          </cell>
        </row>
        <row r="72">
          <cell r="B72" t="str">
            <v>August</v>
          </cell>
          <cell r="C72">
            <v>2956</v>
          </cell>
          <cell r="D72">
            <v>2718</v>
          </cell>
          <cell r="E72">
            <v>2797</v>
          </cell>
        </row>
        <row r="73">
          <cell r="B73" t="str">
            <v>September</v>
          </cell>
          <cell r="C73">
            <v>3093</v>
          </cell>
          <cell r="D73">
            <v>2852</v>
          </cell>
          <cell r="E73">
            <v>2939</v>
          </cell>
        </row>
        <row r="74">
          <cell r="B74" t="str">
            <v>October</v>
          </cell>
          <cell r="C74">
            <v>2897</v>
          </cell>
          <cell r="D74">
            <v>2667</v>
          </cell>
          <cell r="E74">
            <v>2743</v>
          </cell>
        </row>
        <row r="75">
          <cell r="B75" t="str">
            <v>November</v>
          </cell>
          <cell r="C75">
            <v>2740</v>
          </cell>
          <cell r="D75">
            <v>2536</v>
          </cell>
          <cell r="E75">
            <v>2612</v>
          </cell>
        </row>
        <row r="76">
          <cell r="B76" t="str">
            <v>December</v>
          </cell>
          <cell r="C76">
            <v>2715</v>
          </cell>
          <cell r="D76">
            <v>2496</v>
          </cell>
          <cell r="E76">
            <v>2575</v>
          </cell>
        </row>
        <row r="77">
          <cell r="B77" t="str">
            <v>January</v>
          </cell>
          <cell r="C77">
            <v>2638</v>
          </cell>
          <cell r="D77">
            <v>2416</v>
          </cell>
          <cell r="E77">
            <v>2493</v>
          </cell>
        </row>
        <row r="78">
          <cell r="B78" t="str">
            <v>February</v>
          </cell>
          <cell r="C78">
            <v>3275</v>
          </cell>
          <cell r="D78">
            <v>3026</v>
          </cell>
          <cell r="E78">
            <v>3112</v>
          </cell>
        </row>
        <row r="79">
          <cell r="B79" t="str">
            <v>March</v>
          </cell>
          <cell r="C79">
            <v>3232</v>
          </cell>
          <cell r="D79">
            <v>2967</v>
          </cell>
          <cell r="E79">
            <v>3058</v>
          </cell>
        </row>
        <row r="80">
          <cell r="A80">
            <v>2018</v>
          </cell>
          <cell r="B80" t="str">
            <v>April</v>
          </cell>
          <cell r="C80">
            <v>3000</v>
          </cell>
          <cell r="D80">
            <v>2798</v>
          </cell>
          <cell r="E80">
            <v>2876</v>
          </cell>
        </row>
        <row r="81">
          <cell r="B81" t="str">
            <v>May</v>
          </cell>
          <cell r="C81">
            <v>2993</v>
          </cell>
          <cell r="D81">
            <v>2793</v>
          </cell>
          <cell r="E81">
            <v>2871</v>
          </cell>
        </row>
        <row r="82">
          <cell r="B82" t="str">
            <v>June</v>
          </cell>
          <cell r="C82">
            <v>2788</v>
          </cell>
          <cell r="D82">
            <v>2596</v>
          </cell>
          <cell r="E82">
            <v>2671</v>
          </cell>
        </row>
        <row r="83">
          <cell r="B83" t="str">
            <v>July</v>
          </cell>
          <cell r="C83">
            <v>2583</v>
          </cell>
          <cell r="D83">
            <v>2395</v>
          </cell>
          <cell r="E83">
            <v>2469</v>
          </cell>
        </row>
        <row r="84">
          <cell r="B84" t="str">
            <v>August</v>
          </cell>
          <cell r="C84">
            <v>2473</v>
          </cell>
          <cell r="D84">
            <v>2290</v>
          </cell>
          <cell r="E84">
            <v>2362</v>
          </cell>
        </row>
        <row r="85">
          <cell r="B85" t="str">
            <v>September</v>
          </cell>
          <cell r="C85">
            <v>2590</v>
          </cell>
          <cell r="D85">
            <v>2402</v>
          </cell>
          <cell r="E85">
            <v>2476</v>
          </cell>
        </row>
        <row r="86">
          <cell r="B86" t="str">
            <v>October</v>
          </cell>
          <cell r="C86">
            <v>2794</v>
          </cell>
          <cell r="D86">
            <v>2573</v>
          </cell>
          <cell r="E86">
            <v>2656</v>
          </cell>
        </row>
        <row r="87">
          <cell r="B87" t="str">
            <v>November</v>
          </cell>
          <cell r="C87">
            <v>3030</v>
          </cell>
          <cell r="D87">
            <v>2778</v>
          </cell>
          <cell r="E87">
            <v>2871</v>
          </cell>
        </row>
        <row r="88">
          <cell r="B88" t="str">
            <v>December</v>
          </cell>
          <cell r="C88">
            <v>3327</v>
          </cell>
          <cell r="D88">
            <v>3056</v>
          </cell>
          <cell r="E88">
            <v>3158</v>
          </cell>
        </row>
        <row r="89">
          <cell r="B89" t="str">
            <v>January</v>
          </cell>
          <cell r="C89">
            <v>3683</v>
          </cell>
          <cell r="D89">
            <v>3388</v>
          </cell>
          <cell r="E89">
            <v>3502</v>
          </cell>
        </row>
        <row r="90">
          <cell r="B90" t="str">
            <v>February</v>
          </cell>
          <cell r="C90">
            <v>3890</v>
          </cell>
          <cell r="D90">
            <v>3530</v>
          </cell>
          <cell r="E90">
            <v>3659</v>
          </cell>
        </row>
        <row r="91">
          <cell r="B91" t="str">
            <v>March</v>
          </cell>
          <cell r="C91">
            <v>4240</v>
          </cell>
          <cell r="D91">
            <v>3840</v>
          </cell>
          <cell r="E91">
            <v>3982</v>
          </cell>
        </row>
        <row r="92">
          <cell r="A92">
            <v>2019</v>
          </cell>
          <cell r="B92" t="str">
            <v>April</v>
          </cell>
          <cell r="C92">
            <v>3502</v>
          </cell>
          <cell r="D92">
            <v>3259</v>
          </cell>
          <cell r="E92">
            <v>3363</v>
          </cell>
        </row>
        <row r="93">
          <cell r="B93" t="str">
            <v>May</v>
          </cell>
          <cell r="C93">
            <v>3487</v>
          </cell>
          <cell r="D93">
            <v>3226</v>
          </cell>
          <cell r="E93">
            <v>3332</v>
          </cell>
        </row>
        <row r="94">
          <cell r="B94" t="str">
            <v>June</v>
          </cell>
          <cell r="C94">
            <v>3514</v>
          </cell>
          <cell r="D94">
            <v>3247</v>
          </cell>
          <cell r="E94">
            <v>3354</v>
          </cell>
        </row>
        <row r="95">
          <cell r="B95" t="str">
            <v>July</v>
          </cell>
          <cell r="C95">
            <v>3491</v>
          </cell>
          <cell r="D95">
            <v>3233</v>
          </cell>
          <cell r="E95">
            <v>3335</v>
          </cell>
        </row>
        <row r="96">
          <cell r="B96" t="str">
            <v>August</v>
          </cell>
          <cell r="C96">
            <v>3487</v>
          </cell>
          <cell r="D96">
            <v>3224</v>
          </cell>
          <cell r="E96">
            <v>3326</v>
          </cell>
        </row>
        <row r="97">
          <cell r="B97" t="str">
            <v>September</v>
          </cell>
          <cell r="C97">
            <v>3213</v>
          </cell>
          <cell r="D97">
            <v>2967</v>
          </cell>
          <cell r="E97">
            <v>3061</v>
          </cell>
        </row>
        <row r="98">
          <cell r="B98" t="str">
            <v>October</v>
          </cell>
          <cell r="C98">
            <v>3173</v>
          </cell>
          <cell r="D98">
            <v>2935</v>
          </cell>
          <cell r="E98">
            <v>3028</v>
          </cell>
        </row>
        <row r="99">
          <cell r="B99" t="str">
            <v>November</v>
          </cell>
          <cell r="C99">
            <v>3093</v>
          </cell>
          <cell r="D99">
            <v>2857</v>
          </cell>
          <cell r="E99">
            <v>2948</v>
          </cell>
        </row>
        <row r="100">
          <cell r="B100" t="str">
            <v>December</v>
          </cell>
          <cell r="C100">
            <v>2972</v>
          </cell>
          <cell r="D100">
            <v>2747</v>
          </cell>
          <cell r="E100">
            <v>2834</v>
          </cell>
        </row>
        <row r="101">
          <cell r="B101" t="str">
            <v>January</v>
          </cell>
          <cell r="C101">
            <v>2716</v>
          </cell>
          <cell r="D101">
            <v>2510</v>
          </cell>
          <cell r="E101">
            <v>2591</v>
          </cell>
        </row>
        <row r="102">
          <cell r="B102" t="str">
            <v>February</v>
          </cell>
          <cell r="C102">
            <v>2768</v>
          </cell>
          <cell r="D102">
            <v>2554</v>
          </cell>
          <cell r="E102">
            <v>2637</v>
          </cell>
        </row>
        <row r="103">
          <cell r="B103" t="str">
            <v>March</v>
          </cell>
          <cell r="C103">
            <v>2806</v>
          </cell>
          <cell r="D103">
            <v>2598</v>
          </cell>
          <cell r="E103">
            <v>2680</v>
          </cell>
        </row>
        <row r="104">
          <cell r="A104">
            <v>2020</v>
          </cell>
          <cell r="B104" t="str">
            <v>April</v>
          </cell>
          <cell r="C104">
            <v>2910</v>
          </cell>
          <cell r="D104">
            <v>2674</v>
          </cell>
          <cell r="E104">
            <v>2760</v>
          </cell>
        </row>
        <row r="105">
          <cell r="B105" t="str">
            <v>May</v>
          </cell>
          <cell r="C105">
            <v>2870</v>
          </cell>
          <cell r="D105">
            <v>2636</v>
          </cell>
          <cell r="E105">
            <v>2722</v>
          </cell>
        </row>
        <row r="106">
          <cell r="B106" t="str">
            <v>June</v>
          </cell>
          <cell r="C106">
            <v>2828</v>
          </cell>
          <cell r="D106">
            <v>2600</v>
          </cell>
          <cell r="E106">
            <v>2684</v>
          </cell>
        </row>
        <row r="107">
          <cell r="B107" t="str">
            <v>July</v>
          </cell>
          <cell r="C107">
            <v>2876</v>
          </cell>
          <cell r="D107">
            <v>2644</v>
          </cell>
          <cell r="E107">
            <v>2729</v>
          </cell>
        </row>
        <row r="108">
          <cell r="B108" t="str">
            <v>August</v>
          </cell>
          <cell r="C108">
            <v>2789</v>
          </cell>
          <cell r="D108">
            <v>2569</v>
          </cell>
          <cell r="E108">
            <v>2650</v>
          </cell>
        </row>
        <row r="109">
          <cell r="B109" t="str">
            <v>September</v>
          </cell>
          <cell r="C109">
            <v>2816</v>
          </cell>
          <cell r="D109">
            <v>2587</v>
          </cell>
          <cell r="E109">
            <v>2670</v>
          </cell>
        </row>
        <row r="110">
          <cell r="B110" t="str">
            <v>October</v>
          </cell>
          <cell r="C110">
            <v>2796</v>
          </cell>
          <cell r="D110">
            <v>2577</v>
          </cell>
          <cell r="E110">
            <v>2657</v>
          </cell>
        </row>
        <row r="111">
          <cell r="B111" t="str">
            <v>November</v>
          </cell>
          <cell r="C111">
            <v>2769</v>
          </cell>
          <cell r="D111">
            <v>2556</v>
          </cell>
          <cell r="E111">
            <v>2634</v>
          </cell>
        </row>
        <row r="112">
          <cell r="B112" t="str">
            <v>December</v>
          </cell>
          <cell r="C112">
            <v>2721</v>
          </cell>
          <cell r="D112">
            <v>2527</v>
          </cell>
          <cell r="E112">
            <v>2601</v>
          </cell>
        </row>
        <row r="113">
          <cell r="B113" t="str">
            <v>January</v>
          </cell>
          <cell r="C113">
            <v>2749</v>
          </cell>
          <cell r="D113">
            <v>2548</v>
          </cell>
          <cell r="E113">
            <v>2623</v>
          </cell>
        </row>
        <row r="114">
          <cell r="B114" t="str">
            <v>February</v>
          </cell>
          <cell r="C114">
            <v>2780</v>
          </cell>
          <cell r="D114">
            <v>2571</v>
          </cell>
          <cell r="E114">
            <v>2648</v>
          </cell>
        </row>
        <row r="115">
          <cell r="B115" t="str">
            <v>March</v>
          </cell>
          <cell r="C115">
            <v>2692</v>
          </cell>
          <cell r="D115">
            <v>2483</v>
          </cell>
          <cell r="E115">
            <v>2559</v>
          </cell>
        </row>
        <row r="116">
          <cell r="A116">
            <v>2021</v>
          </cell>
          <cell r="B116" t="str">
            <v>April</v>
          </cell>
          <cell r="C116">
            <v>3504</v>
          </cell>
          <cell r="D116">
            <v>3034</v>
          </cell>
          <cell r="E116">
            <v>2687</v>
          </cell>
        </row>
        <row r="117">
          <cell r="B117" t="str">
            <v>May</v>
          </cell>
          <cell r="C117">
            <v>3565</v>
          </cell>
          <cell r="D117">
            <v>3083</v>
          </cell>
          <cell r="E117">
            <v>2731</v>
          </cell>
        </row>
        <row r="118">
          <cell r="B118" t="str">
            <v>June</v>
          </cell>
          <cell r="C118">
            <v>3585</v>
          </cell>
          <cell r="D118">
            <v>3110</v>
          </cell>
          <cell r="E118">
            <v>2753</v>
          </cell>
        </row>
        <row r="119">
          <cell r="B119" t="str">
            <v>July</v>
          </cell>
          <cell r="C119">
            <v>3646</v>
          </cell>
          <cell r="D119">
            <v>3163</v>
          </cell>
          <cell r="E119">
            <v>2800</v>
          </cell>
        </row>
        <row r="120">
          <cell r="B120" t="str">
            <v>August</v>
          </cell>
          <cell r="C120">
            <v>3667</v>
          </cell>
          <cell r="D120">
            <v>3189</v>
          </cell>
          <cell r="E120">
            <v>2822</v>
          </cell>
        </row>
        <row r="121">
          <cell r="B121" t="str">
            <v>September</v>
          </cell>
          <cell r="C121">
            <v>3752</v>
          </cell>
          <cell r="D121">
            <v>3264</v>
          </cell>
          <cell r="E121">
            <v>2888</v>
          </cell>
        </row>
        <row r="122">
          <cell r="B122" t="str">
            <v>October</v>
          </cell>
          <cell r="C122">
            <v>3746</v>
          </cell>
          <cell r="D122">
            <v>3254</v>
          </cell>
          <cell r="E122">
            <v>2881</v>
          </cell>
        </row>
        <row r="123">
          <cell r="B123" t="str">
            <v>November</v>
          </cell>
          <cell r="C123">
            <v>3738</v>
          </cell>
          <cell r="D123">
            <v>3239</v>
          </cell>
          <cell r="E123">
            <v>2867</v>
          </cell>
        </row>
        <row r="124">
          <cell r="B124" t="str">
            <v>December</v>
          </cell>
          <cell r="C124">
            <v>3823</v>
          </cell>
          <cell r="D124">
            <v>3312</v>
          </cell>
          <cell r="E124">
            <v>2931</v>
          </cell>
        </row>
        <row r="125">
          <cell r="B125" t="str">
            <v>January</v>
          </cell>
          <cell r="C125">
            <v>4262</v>
          </cell>
          <cell r="D125">
            <v>3703</v>
          </cell>
          <cell r="E125">
            <v>3273</v>
          </cell>
        </row>
        <row r="126">
          <cell r="B126" t="str">
            <v>February</v>
          </cell>
          <cell r="C126">
            <v>4896</v>
          </cell>
          <cell r="D126">
            <v>4260</v>
          </cell>
          <cell r="E126">
            <v>3764</v>
          </cell>
        </row>
        <row r="127">
          <cell r="B127" t="str">
            <v>March</v>
          </cell>
          <cell r="C127">
            <v>5443</v>
          </cell>
          <cell r="D127">
            <v>4769</v>
          </cell>
          <cell r="E127">
            <v>4205</v>
          </cell>
        </row>
      </sheetData>
      <sheetData sheetId="3"/>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mailto:NPV@12%25"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6.bin"/><Relationship Id="rId1" Type="http://schemas.openxmlformats.org/officeDocument/2006/relationships/hyperlink" Target="mailto:NPV@12%25" TargetMode="External"/><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FD474-79F2-4DD6-8E27-7FE40A0C5059}">
  <dimension ref="A1"/>
  <sheetViews>
    <sheetView showGridLines="0" workbookViewId="0">
      <selection activeCell="Q11" sqref="Q11"/>
    </sheetView>
  </sheetViews>
  <sheetFormatPr defaultRowHeight="1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0BF92-02E3-480A-BA4F-B48A49BEA477}">
  <dimension ref="A1:G26"/>
  <sheetViews>
    <sheetView showGridLines="0" topLeftCell="A16" workbookViewId="0">
      <selection activeCell="A24" sqref="A24:E26"/>
    </sheetView>
  </sheetViews>
  <sheetFormatPr defaultRowHeight="15"/>
  <cols>
    <col min="1" max="1" width="9.140625" style="205"/>
    <col min="2" max="2" width="54.5703125" style="205" bestFit="1" customWidth="1"/>
    <col min="3" max="3" width="14.5703125" style="205" customWidth="1"/>
    <col min="4" max="4" width="19" style="205" customWidth="1"/>
    <col min="5" max="5" width="24.85546875" style="205" customWidth="1"/>
    <col min="6" max="16384" width="9.140625" style="205"/>
  </cols>
  <sheetData>
    <row r="1" spans="1:7">
      <c r="A1" s="377" t="s">
        <v>279</v>
      </c>
      <c r="B1" s="378"/>
      <c r="C1" s="381" t="s">
        <v>347</v>
      </c>
      <c r="D1" s="382"/>
      <c r="E1" s="383"/>
      <c r="F1" s="253"/>
      <c r="G1" s="253"/>
    </row>
    <row r="2" spans="1:7" ht="15.75" thickBot="1">
      <c r="A2" s="379"/>
      <c r="B2" s="380"/>
      <c r="C2" s="384"/>
      <c r="D2" s="385"/>
      <c r="E2" s="386"/>
      <c r="G2" s="253"/>
    </row>
    <row r="3" spans="1:7" ht="15.75" thickBot="1">
      <c r="A3" s="387"/>
      <c r="B3" s="388"/>
      <c r="C3" s="287" t="s">
        <v>281</v>
      </c>
      <c r="D3" s="287" t="s">
        <v>0</v>
      </c>
      <c r="E3" s="287" t="s">
        <v>282</v>
      </c>
      <c r="F3" s="253"/>
      <c r="G3" s="253"/>
    </row>
    <row r="4" spans="1:7" ht="15.75" thickBot="1">
      <c r="A4" s="389"/>
      <c r="B4" s="390"/>
      <c r="C4" s="286" t="s">
        <v>283</v>
      </c>
      <c r="D4" s="286" t="s">
        <v>284</v>
      </c>
      <c r="E4" s="286" t="s">
        <v>285</v>
      </c>
      <c r="F4" s="253"/>
      <c r="G4" s="253"/>
    </row>
    <row r="5" spans="1:7" ht="15.75" thickBot="1">
      <c r="A5" s="275" t="s">
        <v>1</v>
      </c>
      <c r="B5" s="285" t="s">
        <v>286</v>
      </c>
      <c r="C5" s="391"/>
      <c r="D5" s="392"/>
      <c r="E5" s="392"/>
      <c r="F5" s="253"/>
      <c r="G5" s="253"/>
    </row>
    <row r="6" spans="1:7" ht="15.75" thickBot="1">
      <c r="A6" s="394">
        <v>1</v>
      </c>
      <c r="B6" s="281" t="s">
        <v>287</v>
      </c>
      <c r="C6" s="393"/>
      <c r="D6" s="371"/>
      <c r="E6" s="371"/>
      <c r="F6" s="253"/>
      <c r="G6" s="253"/>
    </row>
    <row r="7" spans="1:7" ht="15.75" thickBot="1">
      <c r="A7" s="395"/>
      <c r="B7" s="284" t="s">
        <v>303</v>
      </c>
      <c r="C7" s="278">
        <v>0.7</v>
      </c>
      <c r="D7" s="278">
        <v>1554</v>
      </c>
      <c r="E7" s="326">
        <f>C7*D7</f>
        <v>1087.8</v>
      </c>
      <c r="F7" s="253"/>
      <c r="G7" s="253"/>
    </row>
    <row r="8" spans="1:7" ht="15.75" thickBot="1">
      <c r="A8" s="395"/>
      <c r="B8" s="284" t="s">
        <v>302</v>
      </c>
      <c r="C8" s="278">
        <v>0.56000000000000005</v>
      </c>
      <c r="D8" s="278">
        <v>1712</v>
      </c>
      <c r="E8" s="326">
        <f t="shared" ref="E8:E9" si="0">C8*D8</f>
        <v>958.72000000000014</v>
      </c>
      <c r="F8" s="253"/>
      <c r="G8" s="253"/>
    </row>
    <row r="9" spans="1:7" ht="15.75" thickBot="1">
      <c r="A9" s="395"/>
      <c r="B9" s="284" t="s">
        <v>391</v>
      </c>
      <c r="C9" s="278">
        <v>0.5</v>
      </c>
      <c r="D9" s="278">
        <v>485</v>
      </c>
      <c r="E9" s="326">
        <f t="shared" si="0"/>
        <v>242.5</v>
      </c>
      <c r="F9" s="253"/>
      <c r="G9" s="253"/>
    </row>
    <row r="10" spans="1:7" ht="15.75" thickBot="1">
      <c r="A10" s="396"/>
      <c r="B10" s="282" t="s">
        <v>291</v>
      </c>
      <c r="C10" s="283"/>
      <c r="D10" s="283"/>
      <c r="E10" s="327">
        <f>SUM(E7:E9)</f>
        <v>2289.02</v>
      </c>
      <c r="F10" s="253"/>
      <c r="G10" s="253"/>
    </row>
    <row r="11" spans="1:7" ht="15.75" thickBot="1">
      <c r="A11" s="277"/>
      <c r="B11" s="284" t="s">
        <v>301</v>
      </c>
      <c r="C11" s="369"/>
      <c r="D11" s="370"/>
      <c r="E11" s="328">
        <f>'Opex Segmental(84 KTPA)'!D12/44000</f>
        <v>57.493665854978353</v>
      </c>
      <c r="F11" s="253"/>
      <c r="G11" s="253"/>
    </row>
    <row r="12" spans="1:7" ht="15.75" thickBot="1">
      <c r="A12" s="277"/>
      <c r="B12" s="284" t="s">
        <v>300</v>
      </c>
      <c r="C12" s="369"/>
      <c r="D12" s="370"/>
      <c r="E12" s="267">
        <f>'Opex Segmental(84 KTPA)'!D7/44000</f>
        <v>350</v>
      </c>
      <c r="F12" s="253"/>
      <c r="G12" s="253"/>
    </row>
    <row r="13" spans="1:7" ht="15.75" thickBot="1">
      <c r="A13" s="277"/>
      <c r="B13" s="284" t="s">
        <v>120</v>
      </c>
      <c r="C13" s="369"/>
      <c r="D13" s="370"/>
      <c r="E13" s="328">
        <f>'Opex Segmental(84 KTPA)'!D9/44000</f>
        <v>30.476190476190478</v>
      </c>
      <c r="F13" s="253"/>
      <c r="G13" s="253"/>
    </row>
    <row r="14" spans="1:7" ht="15.75" thickBot="1">
      <c r="A14" s="277"/>
      <c r="B14" s="284" t="s">
        <v>295</v>
      </c>
      <c r="C14" s="369"/>
      <c r="D14" s="370"/>
      <c r="E14" s="328">
        <f>('Opex Segmental(84 KTPA)'!D17+'Opex Segmental(84 KTPA)'!D11)/44000</f>
        <v>440.37201684702603</v>
      </c>
      <c r="F14" s="253"/>
      <c r="G14" s="253"/>
    </row>
    <row r="15" spans="1:7" ht="15.75" thickBot="1">
      <c r="A15" s="277"/>
      <c r="B15" s="281"/>
      <c r="C15" s="369"/>
      <c r="D15" s="370"/>
      <c r="E15" s="280"/>
      <c r="F15" s="253"/>
      <c r="G15" s="253"/>
    </row>
    <row r="16" spans="1:7" ht="15.75" thickBot="1">
      <c r="A16" s="275"/>
      <c r="B16" s="274" t="s">
        <v>296</v>
      </c>
      <c r="C16" s="369"/>
      <c r="D16" s="370"/>
      <c r="E16" s="329">
        <f>E10+E11+E12+E13+E14</f>
        <v>3167.3618731781944</v>
      </c>
      <c r="F16" s="253"/>
      <c r="G16" s="253"/>
    </row>
    <row r="17" spans="1:7" ht="15.75" thickBot="1">
      <c r="A17" s="373"/>
      <c r="B17" s="374"/>
      <c r="C17" s="369"/>
      <c r="D17" s="370"/>
      <c r="E17" s="375"/>
      <c r="F17" s="253"/>
      <c r="G17" s="253"/>
    </row>
    <row r="18" spans="1:7" ht="15.75" thickBot="1">
      <c r="A18" s="279" t="s">
        <v>2</v>
      </c>
      <c r="B18" s="274" t="s">
        <v>297</v>
      </c>
      <c r="C18" s="369"/>
      <c r="D18" s="370"/>
      <c r="E18" s="376"/>
      <c r="F18" s="253"/>
      <c r="G18" s="253"/>
    </row>
    <row r="19" spans="1:7" ht="15.75" thickBot="1">
      <c r="A19" s="277">
        <v>1</v>
      </c>
      <c r="B19" s="276" t="s">
        <v>272</v>
      </c>
      <c r="C19" s="369"/>
      <c r="D19" s="370"/>
      <c r="E19" s="326">
        <f>'Opex Segmental(84 KTPA)'!D14/44000</f>
        <v>10.646266214285717</v>
      </c>
      <c r="F19" s="253"/>
      <c r="G19" s="253"/>
    </row>
    <row r="20" spans="1:7" ht="15.75" thickBot="1">
      <c r="A20" s="277">
        <v>2</v>
      </c>
      <c r="B20" s="276" t="s">
        <v>298</v>
      </c>
      <c r="C20" s="369"/>
      <c r="D20" s="370"/>
      <c r="E20" s="326">
        <f>'Opex Segmental(84 KTPA)'!D15/44000</f>
        <v>18.505105510714291</v>
      </c>
      <c r="F20" s="253"/>
      <c r="G20" s="253"/>
    </row>
    <row r="21" spans="1:7" ht="15.75" thickBot="1">
      <c r="A21" s="277">
        <v>3</v>
      </c>
      <c r="B21" s="276" t="s">
        <v>273</v>
      </c>
      <c r="C21" s="369"/>
      <c r="D21" s="370"/>
      <c r="E21" s="326">
        <f>'Opex Segmental(84 KTPA)'!D16/44000</f>
        <v>4.1122456690476197</v>
      </c>
      <c r="F21" s="253"/>
      <c r="G21" s="253"/>
    </row>
    <row r="22" spans="1:7" ht="15.75" thickBot="1">
      <c r="A22" s="275"/>
      <c r="B22" s="274" t="s">
        <v>299</v>
      </c>
      <c r="C22" s="369"/>
      <c r="D22" s="370"/>
      <c r="E22" s="330">
        <f>E21+E20+E19</f>
        <v>33.263617394047628</v>
      </c>
      <c r="F22" s="253"/>
      <c r="G22" s="253"/>
    </row>
    <row r="23" spans="1:7" ht="15.75" thickBot="1">
      <c r="A23" s="275" t="s">
        <v>3</v>
      </c>
      <c r="B23" s="274" t="s">
        <v>355</v>
      </c>
      <c r="C23" s="371"/>
      <c r="D23" s="372"/>
      <c r="E23" s="329">
        <f>E16+E22</f>
        <v>3200.6254905722421</v>
      </c>
      <c r="F23" s="253"/>
      <c r="G23" s="253"/>
    </row>
    <row r="24" spans="1:7">
      <c r="A24" s="366" t="s">
        <v>392</v>
      </c>
      <c r="B24" s="367"/>
      <c r="C24" s="367"/>
      <c r="D24" s="367"/>
      <c r="E24" s="367"/>
    </row>
    <row r="25" spans="1:7">
      <c r="A25" s="368"/>
      <c r="B25" s="368"/>
      <c r="C25" s="368"/>
      <c r="D25" s="368"/>
      <c r="E25" s="368"/>
    </row>
    <row r="26" spans="1:7">
      <c r="A26" s="368"/>
      <c r="B26" s="368"/>
      <c r="C26" s="368"/>
      <c r="D26" s="368"/>
      <c r="E26" s="368"/>
    </row>
  </sheetData>
  <mergeCells count="9">
    <mergeCell ref="A24:E26"/>
    <mergeCell ref="C11:D23"/>
    <mergeCell ref="A17:B17"/>
    <mergeCell ref="E17:E18"/>
    <mergeCell ref="A1:B2"/>
    <mergeCell ref="C1:E2"/>
    <mergeCell ref="A3:B4"/>
    <mergeCell ref="C5:E6"/>
    <mergeCell ref="A6:A10"/>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F7BE59-51C9-4BAE-B656-693B026290F8}">
  <dimension ref="A1:F23"/>
  <sheetViews>
    <sheetView showGridLines="0" topLeftCell="A4" zoomScaleNormal="100" workbookViewId="0">
      <selection activeCell="E13" sqref="E13"/>
    </sheetView>
  </sheetViews>
  <sheetFormatPr defaultRowHeight="15"/>
  <cols>
    <col min="1" max="1" width="9.140625" style="205"/>
    <col min="2" max="2" width="34.140625" style="205" customWidth="1"/>
    <col min="3" max="3" width="19.85546875" style="205" customWidth="1"/>
    <col min="4" max="4" width="16.7109375" style="205" customWidth="1"/>
    <col min="5" max="5" width="16.42578125" style="205" customWidth="1"/>
    <col min="6" max="7" width="9.140625" style="205"/>
    <col min="8" max="8" width="23.140625" style="205" bestFit="1" customWidth="1"/>
    <col min="9" max="9" width="9.140625" style="205"/>
    <col min="10" max="10" width="11.140625" style="205" bestFit="1" customWidth="1"/>
    <col min="11" max="16384" width="9.140625" style="205"/>
  </cols>
  <sheetData>
    <row r="1" spans="1:6">
      <c r="A1" s="405" t="s">
        <v>279</v>
      </c>
      <c r="B1" s="406"/>
      <c r="C1" s="409" t="s">
        <v>280</v>
      </c>
      <c r="D1" s="410"/>
      <c r="E1" s="411"/>
      <c r="F1" s="253"/>
    </row>
    <row r="2" spans="1:6" ht="15.75" thickBot="1">
      <c r="A2" s="407"/>
      <c r="B2" s="408"/>
      <c r="C2" s="412"/>
      <c r="D2" s="413"/>
      <c r="E2" s="414"/>
      <c r="F2" s="253"/>
    </row>
    <row r="3" spans="1:6" ht="15.75" thickBot="1">
      <c r="A3" s="415"/>
      <c r="B3" s="416"/>
      <c r="C3" s="254" t="s">
        <v>281</v>
      </c>
      <c r="D3" s="254" t="s">
        <v>0</v>
      </c>
      <c r="E3" s="254" t="s">
        <v>282</v>
      </c>
      <c r="F3" s="253"/>
    </row>
    <row r="4" spans="1:6" ht="15.75" thickBot="1">
      <c r="A4" s="417"/>
      <c r="B4" s="418"/>
      <c r="C4" s="255" t="s">
        <v>283</v>
      </c>
      <c r="D4" s="255" t="s">
        <v>284</v>
      </c>
      <c r="E4" s="255" t="s">
        <v>356</v>
      </c>
      <c r="F4" s="253"/>
    </row>
    <row r="5" spans="1:6" ht="15.75" thickBot="1">
      <c r="A5" s="256" t="s">
        <v>1</v>
      </c>
      <c r="B5" s="257" t="s">
        <v>286</v>
      </c>
      <c r="C5" s="419"/>
      <c r="D5" s="420"/>
      <c r="E5" s="420"/>
      <c r="F5" s="253"/>
    </row>
    <row r="6" spans="1:6" ht="15.75" thickBot="1">
      <c r="A6" s="422">
        <v>1</v>
      </c>
      <c r="B6" s="258" t="s">
        <v>287</v>
      </c>
      <c r="C6" s="399"/>
      <c r="D6" s="421"/>
      <c r="E6" s="421"/>
      <c r="F6" s="253"/>
    </row>
    <row r="7" spans="1:6" ht="15.75" thickBot="1">
      <c r="A7" s="423"/>
      <c r="B7" s="259" t="s">
        <v>288</v>
      </c>
      <c r="C7" s="307">
        <v>0.73099999999999998</v>
      </c>
      <c r="D7" s="261">
        <v>2650</v>
      </c>
      <c r="E7" s="261">
        <f>D7*C7</f>
        <v>1937.1499999999999</v>
      </c>
      <c r="F7" s="253"/>
    </row>
    <row r="8" spans="1:6" ht="15.75" thickBot="1">
      <c r="A8" s="423"/>
      <c r="B8" s="259" t="s">
        <v>303</v>
      </c>
      <c r="C8" s="307">
        <f>1-C7</f>
        <v>0.26900000000000002</v>
      </c>
      <c r="D8" s="261">
        <v>1554</v>
      </c>
      <c r="E8" s="261">
        <f>D8*C8</f>
        <v>418.02600000000001</v>
      </c>
      <c r="F8" s="253"/>
    </row>
    <row r="9" spans="1:6" ht="15.75" thickBot="1">
      <c r="A9" s="424"/>
      <c r="B9" s="262" t="s">
        <v>291</v>
      </c>
      <c r="C9" s="263"/>
      <c r="D9" s="264"/>
      <c r="E9" s="265">
        <f>SUM(E7:E8)</f>
        <v>2355.1759999999999</v>
      </c>
    </row>
    <row r="10" spans="1:6" ht="15.75" thickBot="1">
      <c r="A10" s="245"/>
      <c r="B10" s="266" t="s">
        <v>292</v>
      </c>
      <c r="C10" s="397"/>
      <c r="D10" s="398"/>
      <c r="E10" s="328">
        <f>'Opex Segmental(84 KTPA)'!D32/20000</f>
        <v>57.493665854978353</v>
      </c>
    </row>
    <row r="11" spans="1:6" ht="15.75" thickBot="1">
      <c r="A11" s="245"/>
      <c r="B11" s="268" t="s">
        <v>293</v>
      </c>
      <c r="C11" s="397"/>
      <c r="D11" s="398"/>
      <c r="E11" s="267">
        <v>120</v>
      </c>
    </row>
    <row r="12" spans="1:6" ht="15.75" thickBot="1">
      <c r="A12" s="245"/>
      <c r="B12" s="268" t="s">
        <v>294</v>
      </c>
      <c r="C12" s="397"/>
      <c r="D12" s="398"/>
      <c r="E12" s="328">
        <f>'Opex Segmental(84 KTPA)'!D29/20000</f>
        <v>30.476190476190474</v>
      </c>
    </row>
    <row r="13" spans="1:6" ht="30.75" thickBot="1">
      <c r="A13" s="245"/>
      <c r="B13" s="268" t="s">
        <v>295</v>
      </c>
      <c r="C13" s="397"/>
      <c r="D13" s="398"/>
      <c r="E13" s="328">
        <v>415</v>
      </c>
    </row>
    <row r="14" spans="1:6" ht="15.75" thickBot="1">
      <c r="A14" s="245"/>
      <c r="B14" s="258"/>
      <c r="C14" s="397"/>
      <c r="D14" s="398"/>
      <c r="E14" s="269"/>
      <c r="F14" s="253"/>
    </row>
    <row r="15" spans="1:6" ht="15.75" thickBot="1">
      <c r="A15" s="256"/>
      <c r="B15" s="270" t="s">
        <v>296</v>
      </c>
      <c r="C15" s="397"/>
      <c r="D15" s="398"/>
      <c r="E15" s="271">
        <f>E9+E10+E11+E12+E13</f>
        <v>2978.1458563311685</v>
      </c>
      <c r="F15" s="253"/>
    </row>
    <row r="16" spans="1:6" ht="15.75" thickBot="1">
      <c r="A16" s="401"/>
      <c r="B16" s="402"/>
      <c r="C16" s="397"/>
      <c r="D16" s="398"/>
      <c r="E16" s="403"/>
      <c r="F16" s="253"/>
    </row>
    <row r="17" spans="1:6" ht="15.75" thickBot="1">
      <c r="A17" s="272" t="s">
        <v>2</v>
      </c>
      <c r="B17" s="270" t="s">
        <v>297</v>
      </c>
      <c r="C17" s="397"/>
      <c r="D17" s="398"/>
      <c r="E17" s="404"/>
      <c r="F17" s="253"/>
    </row>
    <row r="18" spans="1:6" ht="15.75" thickBot="1">
      <c r="A18" s="245">
        <v>1</v>
      </c>
      <c r="B18" s="273" t="s">
        <v>272</v>
      </c>
      <c r="C18" s="397"/>
      <c r="D18" s="398"/>
      <c r="E18" s="261">
        <f>'Opex Segmental(84 KTPA)'!D34/20000</f>
        <v>10.646266214285717</v>
      </c>
      <c r="F18" s="253"/>
    </row>
    <row r="19" spans="1:6" ht="15.75" thickBot="1">
      <c r="A19" s="245">
        <v>2</v>
      </c>
      <c r="B19" s="273" t="s">
        <v>298</v>
      </c>
      <c r="C19" s="397"/>
      <c r="D19" s="398"/>
      <c r="E19" s="261">
        <f>'Opex Segmental(84 KTPA)'!D35/20000</f>
        <v>18.505105510714287</v>
      </c>
      <c r="F19" s="253"/>
    </row>
    <row r="20" spans="1:6" ht="15.75" thickBot="1">
      <c r="A20" s="245">
        <v>3</v>
      </c>
      <c r="B20" s="273" t="s">
        <v>273</v>
      </c>
      <c r="C20" s="397"/>
      <c r="D20" s="398"/>
      <c r="E20" s="261">
        <f>'Opex Segmental(84 KTPA)'!D36/20000</f>
        <v>4.1122456690476188</v>
      </c>
      <c r="F20" s="253"/>
    </row>
    <row r="21" spans="1:6" ht="15.75" thickBot="1">
      <c r="A21" s="256"/>
      <c r="B21" s="270" t="s">
        <v>299</v>
      </c>
      <c r="C21" s="397"/>
      <c r="D21" s="398"/>
      <c r="E21" s="331">
        <f>E18+E19+E20</f>
        <v>33.263617394047621</v>
      </c>
      <c r="F21" s="253"/>
    </row>
    <row r="22" spans="1:6" ht="15.75" thickBot="1">
      <c r="A22" s="256" t="s">
        <v>3</v>
      </c>
      <c r="B22" s="270" t="s">
        <v>355</v>
      </c>
      <c r="C22" s="399"/>
      <c r="D22" s="400"/>
      <c r="E22" s="271">
        <f>E15+E21</f>
        <v>3011.4094737252162</v>
      </c>
      <c r="F22" s="253"/>
    </row>
    <row r="23" spans="1:6" ht="409.5" customHeight="1">
      <c r="A23" s="366" t="s">
        <v>393</v>
      </c>
      <c r="B23" s="366"/>
      <c r="C23" s="366"/>
      <c r="D23" s="366"/>
      <c r="E23" s="366"/>
    </row>
  </sheetData>
  <mergeCells count="9">
    <mergeCell ref="A23:E23"/>
    <mergeCell ref="C10:D22"/>
    <mergeCell ref="A16:B16"/>
    <mergeCell ref="E16:E17"/>
    <mergeCell ref="A1:B2"/>
    <mergeCell ref="C1:E2"/>
    <mergeCell ref="A3:B4"/>
    <mergeCell ref="C5:E6"/>
    <mergeCell ref="A6:A9"/>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B55F2-A784-4471-AE00-36EB557BC215}">
  <dimension ref="A1:E24"/>
  <sheetViews>
    <sheetView showGridLines="0" topLeftCell="A4" workbookViewId="0">
      <selection activeCell="E12" sqref="E12"/>
    </sheetView>
  </sheetViews>
  <sheetFormatPr defaultRowHeight="15"/>
  <cols>
    <col min="1" max="1" width="9.140625" style="205"/>
    <col min="2" max="2" width="34.28515625" style="205" bestFit="1" customWidth="1"/>
    <col min="3" max="3" width="17.140625" style="205" customWidth="1"/>
    <col min="4" max="4" width="22.140625" style="205" customWidth="1"/>
    <col min="5" max="5" width="25.7109375" style="205" customWidth="1"/>
    <col min="6" max="16384" width="9.140625" style="205"/>
  </cols>
  <sheetData>
    <row r="1" spans="1:5">
      <c r="A1" s="405" t="s">
        <v>279</v>
      </c>
      <c r="B1" s="406"/>
      <c r="C1" s="409" t="s">
        <v>280</v>
      </c>
      <c r="D1" s="410"/>
      <c r="E1" s="411"/>
    </row>
    <row r="2" spans="1:5" ht="15.75" thickBot="1">
      <c r="A2" s="407"/>
      <c r="B2" s="408"/>
      <c r="C2" s="412"/>
      <c r="D2" s="413"/>
      <c r="E2" s="414"/>
    </row>
    <row r="3" spans="1:5" ht="15.75" thickBot="1">
      <c r="A3" s="415"/>
      <c r="B3" s="416"/>
      <c r="C3" s="254" t="s">
        <v>281</v>
      </c>
      <c r="D3" s="254" t="s">
        <v>0</v>
      </c>
      <c r="E3" s="254" t="s">
        <v>282</v>
      </c>
    </row>
    <row r="4" spans="1:5" ht="15.75" thickBot="1">
      <c r="A4" s="417"/>
      <c r="B4" s="418"/>
      <c r="C4" s="255" t="s">
        <v>283</v>
      </c>
      <c r="D4" s="255" t="s">
        <v>284</v>
      </c>
      <c r="E4" s="255" t="s">
        <v>285</v>
      </c>
    </row>
    <row r="5" spans="1:5" ht="15.75" thickBot="1">
      <c r="A5" s="256" t="s">
        <v>1</v>
      </c>
      <c r="B5" s="257" t="s">
        <v>286</v>
      </c>
      <c r="C5" s="419"/>
      <c r="D5" s="420"/>
      <c r="E5" s="420"/>
    </row>
    <row r="6" spans="1:5" ht="15.75" thickBot="1">
      <c r="A6" s="422">
        <v>1</v>
      </c>
      <c r="B6" s="258" t="s">
        <v>287</v>
      </c>
      <c r="C6" s="399"/>
      <c r="D6" s="421"/>
      <c r="E6" s="421"/>
    </row>
    <row r="7" spans="1:5" ht="15.75" thickBot="1">
      <c r="A7" s="423"/>
      <c r="B7" s="259" t="s">
        <v>288</v>
      </c>
      <c r="C7" s="260">
        <v>0.79</v>
      </c>
      <c r="D7" s="261">
        <v>2650</v>
      </c>
      <c r="E7" s="261">
        <f>C7*D7</f>
        <v>2093.5</v>
      </c>
    </row>
    <row r="8" spans="1:5" ht="15.75" thickBot="1">
      <c r="A8" s="423"/>
      <c r="B8" s="259" t="s">
        <v>289</v>
      </c>
      <c r="C8" s="260">
        <f>1-C7</f>
        <v>0.20999999999999996</v>
      </c>
      <c r="D8" s="261">
        <v>1554</v>
      </c>
      <c r="E8" s="261">
        <f t="shared" ref="E8" si="0">C8*D8</f>
        <v>326.33999999999992</v>
      </c>
    </row>
    <row r="9" spans="1:5" ht="15.75" thickBot="1">
      <c r="A9" s="424"/>
      <c r="B9" s="262" t="s">
        <v>291</v>
      </c>
      <c r="C9" s="263"/>
      <c r="D9" s="264"/>
      <c r="E9" s="265">
        <f>SUM(E7:E8)</f>
        <v>2419.84</v>
      </c>
    </row>
    <row r="10" spans="1:5" ht="15.75" thickBot="1">
      <c r="A10" s="245"/>
      <c r="B10" s="266" t="s">
        <v>292</v>
      </c>
      <c r="C10" s="397"/>
      <c r="D10" s="398"/>
      <c r="E10" s="328">
        <f>'Opex Segmental(84 KTPA)'!D52/6000</f>
        <v>57.493665854978353</v>
      </c>
    </row>
    <row r="11" spans="1:5" ht="15.75" thickBot="1">
      <c r="A11" s="245"/>
      <c r="B11" s="268" t="s">
        <v>293</v>
      </c>
      <c r="C11" s="397"/>
      <c r="D11" s="398"/>
      <c r="E11" s="267">
        <v>125</v>
      </c>
    </row>
    <row r="12" spans="1:5" ht="15.75" thickBot="1">
      <c r="A12" s="245"/>
      <c r="B12" s="268" t="s">
        <v>294</v>
      </c>
      <c r="C12" s="397"/>
      <c r="D12" s="398"/>
      <c r="E12" s="328">
        <f>'Opex Segmental(84 KTPA)'!D49/6000</f>
        <v>30.476190476190478</v>
      </c>
    </row>
    <row r="13" spans="1:5" ht="30.75" thickBot="1">
      <c r="A13" s="245"/>
      <c r="B13" s="268" t="s">
        <v>295</v>
      </c>
      <c r="C13" s="397"/>
      <c r="D13" s="398"/>
      <c r="E13" s="328">
        <v>414.52</v>
      </c>
    </row>
    <row r="14" spans="1:5" ht="15.75" thickBot="1">
      <c r="A14" s="245"/>
      <c r="B14" s="258"/>
      <c r="C14" s="397"/>
      <c r="D14" s="398"/>
      <c r="E14" s="269"/>
    </row>
    <row r="15" spans="1:5" ht="15.75" thickBot="1">
      <c r="A15" s="256"/>
      <c r="B15" s="270" t="s">
        <v>296</v>
      </c>
      <c r="C15" s="397"/>
      <c r="D15" s="398"/>
      <c r="E15" s="271">
        <f>E9+E10+E11+E12+E13</f>
        <v>3047.3298563311687</v>
      </c>
    </row>
    <row r="16" spans="1:5" ht="15.75" thickBot="1">
      <c r="A16" s="401"/>
      <c r="B16" s="402"/>
      <c r="C16" s="397"/>
      <c r="D16" s="398"/>
      <c r="E16" s="403"/>
    </row>
    <row r="17" spans="1:5" ht="15.75" thickBot="1">
      <c r="A17" s="272" t="s">
        <v>2</v>
      </c>
      <c r="B17" s="270" t="s">
        <v>297</v>
      </c>
      <c r="C17" s="397"/>
      <c r="D17" s="398"/>
      <c r="E17" s="404"/>
    </row>
    <row r="18" spans="1:5" ht="15.75" thickBot="1">
      <c r="A18" s="245">
        <v>1</v>
      </c>
      <c r="B18" s="273" t="s">
        <v>272</v>
      </c>
      <c r="C18" s="397"/>
      <c r="D18" s="398"/>
      <c r="E18" s="261">
        <f>'Opex Segmental(84 KTPA)'!D54/6000</f>
        <v>10.646266214285717</v>
      </c>
    </row>
    <row r="19" spans="1:5" ht="15.75" thickBot="1">
      <c r="A19" s="245">
        <v>2</v>
      </c>
      <c r="B19" s="273" t="s">
        <v>298</v>
      </c>
      <c r="C19" s="397"/>
      <c r="D19" s="398"/>
      <c r="E19" s="261">
        <f>'Opex Segmental(84 KTPA)'!D55/6000</f>
        <v>18.505105510714287</v>
      </c>
    </row>
    <row r="20" spans="1:5" ht="15.75" thickBot="1">
      <c r="A20" s="245">
        <v>3</v>
      </c>
      <c r="B20" s="273" t="s">
        <v>273</v>
      </c>
      <c r="C20" s="397"/>
      <c r="D20" s="398"/>
      <c r="E20" s="261">
        <f>'Opex Segmental(84 KTPA)'!D56/6000</f>
        <v>4.1122456690476197</v>
      </c>
    </row>
    <row r="21" spans="1:5" ht="15.75" thickBot="1">
      <c r="A21" s="256"/>
      <c r="B21" s="270" t="s">
        <v>299</v>
      </c>
      <c r="C21" s="397"/>
      <c r="D21" s="398"/>
      <c r="E21" s="331">
        <f>E18+E19+E20</f>
        <v>33.263617394047621</v>
      </c>
    </row>
    <row r="22" spans="1:5" ht="15.75" thickBot="1">
      <c r="A22" s="256" t="s">
        <v>3</v>
      </c>
      <c r="B22" s="270" t="s">
        <v>355</v>
      </c>
      <c r="C22" s="399"/>
      <c r="D22" s="400"/>
      <c r="E22" s="271">
        <f>E15+E21</f>
        <v>3080.5934737252164</v>
      </c>
    </row>
    <row r="23" spans="1:5">
      <c r="A23" s="425" t="s">
        <v>394</v>
      </c>
      <c r="B23" s="426"/>
      <c r="C23" s="426"/>
      <c r="D23" s="426"/>
      <c r="E23" s="426"/>
    </row>
    <row r="24" spans="1:5">
      <c r="A24" s="427"/>
      <c r="B24" s="427"/>
      <c r="C24" s="427"/>
      <c r="D24" s="427"/>
      <c r="E24" s="427"/>
    </row>
  </sheetData>
  <mergeCells count="9">
    <mergeCell ref="A23:E24"/>
    <mergeCell ref="C10:D22"/>
    <mergeCell ref="A16:B16"/>
    <mergeCell ref="E16:E17"/>
    <mergeCell ref="A1:B2"/>
    <mergeCell ref="C1:E2"/>
    <mergeCell ref="A3:B4"/>
    <mergeCell ref="C5:E6"/>
    <mergeCell ref="A6:A9"/>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4C74C-CAB0-4D18-A722-D751E0382622}">
  <dimension ref="A1:E24"/>
  <sheetViews>
    <sheetView showGridLines="0" workbookViewId="0">
      <selection activeCell="G13" sqref="G13"/>
    </sheetView>
  </sheetViews>
  <sheetFormatPr defaultRowHeight="15"/>
  <cols>
    <col min="2" max="2" width="34.5703125" customWidth="1"/>
    <col min="3" max="5" width="16.140625" customWidth="1"/>
  </cols>
  <sheetData>
    <row r="1" spans="1:5">
      <c r="A1" s="405" t="s">
        <v>279</v>
      </c>
      <c r="B1" s="406"/>
      <c r="C1" s="409" t="s">
        <v>357</v>
      </c>
      <c r="D1" s="410"/>
      <c r="E1" s="411"/>
    </row>
    <row r="2" spans="1:5" ht="15.75" thickBot="1">
      <c r="A2" s="407"/>
      <c r="B2" s="408"/>
      <c r="C2" s="412"/>
      <c r="D2" s="413"/>
      <c r="E2" s="414"/>
    </row>
    <row r="3" spans="1:5" ht="15.75" thickBot="1">
      <c r="A3" s="415"/>
      <c r="B3" s="416"/>
      <c r="C3" s="254" t="s">
        <v>281</v>
      </c>
      <c r="D3" s="254" t="s">
        <v>0</v>
      </c>
      <c r="E3" s="254" t="s">
        <v>282</v>
      </c>
    </row>
    <row r="4" spans="1:5" ht="15.75" thickBot="1">
      <c r="A4" s="417"/>
      <c r="B4" s="418"/>
      <c r="C4" s="255" t="s">
        <v>283</v>
      </c>
      <c r="D4" s="255" t="s">
        <v>284</v>
      </c>
      <c r="E4" s="255" t="s">
        <v>285</v>
      </c>
    </row>
    <row r="5" spans="1:5" ht="15.75" thickBot="1">
      <c r="A5" s="256" t="s">
        <v>1</v>
      </c>
      <c r="B5" s="257" t="s">
        <v>286</v>
      </c>
      <c r="C5" s="419"/>
      <c r="D5" s="420"/>
      <c r="E5" s="420"/>
    </row>
    <row r="6" spans="1:5" ht="15.75" hidden="1" thickBot="1">
      <c r="A6" s="423"/>
      <c r="B6" s="259" t="s">
        <v>288</v>
      </c>
      <c r="C6" s="260">
        <v>0.79</v>
      </c>
      <c r="D6" s="261">
        <v>2373</v>
      </c>
      <c r="E6" s="261">
        <v>1874.67</v>
      </c>
    </row>
    <row r="7" spans="1:5" ht="15.75" hidden="1" thickBot="1">
      <c r="A7" s="423"/>
      <c r="B7" s="259" t="s">
        <v>289</v>
      </c>
      <c r="C7" s="260">
        <v>0.11</v>
      </c>
      <c r="D7" s="261">
        <v>1625</v>
      </c>
      <c r="E7" s="261">
        <v>178.75</v>
      </c>
    </row>
    <row r="8" spans="1:5" ht="15.75" hidden="1" thickBot="1">
      <c r="A8" s="423"/>
      <c r="B8" s="259" t="s">
        <v>290</v>
      </c>
      <c r="C8" s="260">
        <v>0.17</v>
      </c>
      <c r="D8" s="261">
        <v>394.51</v>
      </c>
      <c r="E8" s="261">
        <v>67.066699999999997</v>
      </c>
    </row>
    <row r="9" spans="1:5" ht="15.75" thickBot="1">
      <c r="A9" s="424"/>
      <c r="B9" s="258" t="s">
        <v>358</v>
      </c>
      <c r="C9" s="430"/>
      <c r="D9" s="431"/>
      <c r="E9" s="265">
        <v>2900</v>
      </c>
    </row>
    <row r="10" spans="1:5" ht="15.75" thickBot="1">
      <c r="A10" s="245"/>
      <c r="B10" s="266" t="s">
        <v>292</v>
      </c>
      <c r="C10" s="432"/>
      <c r="D10" s="433"/>
      <c r="E10" s="328">
        <v>57.493665854978353</v>
      </c>
    </row>
    <row r="11" spans="1:5" ht="15.75" thickBot="1">
      <c r="A11" s="245"/>
      <c r="B11" s="268" t="s">
        <v>293</v>
      </c>
      <c r="C11" s="432"/>
      <c r="D11" s="433"/>
      <c r="E11" s="328">
        <v>372</v>
      </c>
    </row>
    <row r="12" spans="1:5" ht="15.75" thickBot="1">
      <c r="A12" s="245"/>
      <c r="B12" s="268" t="s">
        <v>294</v>
      </c>
      <c r="C12" s="432"/>
      <c r="D12" s="433"/>
      <c r="E12" s="328">
        <v>30.476190476190478</v>
      </c>
    </row>
    <row r="13" spans="1:5" ht="30.75" thickBot="1">
      <c r="A13" s="245"/>
      <c r="B13" s="268" t="s">
        <v>295</v>
      </c>
      <c r="C13" s="432"/>
      <c r="D13" s="433"/>
      <c r="E13" s="328">
        <v>390.62142857142857</v>
      </c>
    </row>
    <row r="14" spans="1:5" ht="15.75" thickBot="1">
      <c r="A14" s="245"/>
      <c r="B14" s="258"/>
      <c r="C14" s="432"/>
      <c r="D14" s="433"/>
      <c r="E14" s="332"/>
    </row>
    <row r="15" spans="1:5" ht="15.75" thickBot="1">
      <c r="A15" s="256"/>
      <c r="B15" s="270" t="s">
        <v>296</v>
      </c>
      <c r="C15" s="432"/>
      <c r="D15" s="433"/>
      <c r="E15" s="271">
        <v>3750.5912849025972</v>
      </c>
    </row>
    <row r="16" spans="1:5" ht="15.75" thickBot="1">
      <c r="A16" s="401"/>
      <c r="B16" s="402"/>
      <c r="C16" s="432"/>
      <c r="D16" s="433"/>
      <c r="E16" s="428"/>
    </row>
    <row r="17" spans="1:5" ht="15.75" thickBot="1">
      <c r="A17" s="272" t="s">
        <v>2</v>
      </c>
      <c r="B17" s="270" t="s">
        <v>297</v>
      </c>
      <c r="C17" s="432"/>
      <c r="D17" s="433"/>
      <c r="E17" s="429"/>
    </row>
    <row r="18" spans="1:5" ht="15.75" thickBot="1">
      <c r="A18" s="245">
        <v>1</v>
      </c>
      <c r="B18" s="273" t="s">
        <v>272</v>
      </c>
      <c r="C18" s="432"/>
      <c r="D18" s="433"/>
      <c r="E18" s="261">
        <v>10.646266214285715</v>
      </c>
    </row>
    <row r="19" spans="1:5" ht="15.75" thickBot="1">
      <c r="A19" s="245">
        <v>2</v>
      </c>
      <c r="B19" s="273" t="s">
        <v>298</v>
      </c>
      <c r="C19" s="432"/>
      <c r="D19" s="433"/>
      <c r="E19" s="261">
        <v>18.505105510714287</v>
      </c>
    </row>
    <row r="20" spans="1:5" ht="15.75" thickBot="1">
      <c r="A20" s="245">
        <v>3</v>
      </c>
      <c r="B20" s="273" t="s">
        <v>273</v>
      </c>
      <c r="C20" s="432"/>
      <c r="D20" s="433"/>
      <c r="E20" s="261">
        <v>4.1122456690476197</v>
      </c>
    </row>
    <row r="21" spans="1:5" ht="15.75" thickBot="1">
      <c r="A21" s="256"/>
      <c r="B21" s="270" t="s">
        <v>299</v>
      </c>
      <c r="C21" s="432"/>
      <c r="D21" s="433"/>
      <c r="E21" s="331">
        <v>33.263617394047621</v>
      </c>
    </row>
    <row r="22" spans="1:5" ht="15.75" thickBot="1">
      <c r="A22" s="256" t="s">
        <v>3</v>
      </c>
      <c r="B22" s="270" t="s">
        <v>355</v>
      </c>
      <c r="C22" s="434"/>
      <c r="D22" s="435"/>
      <c r="E22" s="271">
        <v>3783.8549022966449</v>
      </c>
    </row>
    <row r="24" spans="1:5">
      <c r="B24" t="s">
        <v>359</v>
      </c>
    </row>
  </sheetData>
  <mergeCells count="8">
    <mergeCell ref="A16:B16"/>
    <mergeCell ref="E16:E17"/>
    <mergeCell ref="A1:B2"/>
    <mergeCell ref="C1:E2"/>
    <mergeCell ref="A3:B4"/>
    <mergeCell ref="C5:E5"/>
    <mergeCell ref="A6:A9"/>
    <mergeCell ref="C9:D22"/>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C50BD-230C-469E-8904-05DB21D6F7AA}">
  <dimension ref="A1:O16"/>
  <sheetViews>
    <sheetView showGridLines="0" workbookViewId="0">
      <selection activeCell="B20" sqref="B20"/>
    </sheetView>
  </sheetViews>
  <sheetFormatPr defaultRowHeight="15"/>
  <cols>
    <col min="1" max="1" width="33.140625" bestFit="1" customWidth="1"/>
    <col min="2" max="2" width="22.5703125" bestFit="1" customWidth="1"/>
    <col min="4" max="4" width="2.140625" customWidth="1"/>
    <col min="5" max="5" width="13.28515625" bestFit="1" customWidth="1"/>
    <col min="6" max="9" width="14" bestFit="1" customWidth="1"/>
    <col min="10" max="10" width="15.5703125" bestFit="1" customWidth="1"/>
    <col min="11" max="14" width="14" bestFit="1" customWidth="1"/>
    <col min="15" max="15" width="2" hidden="1" customWidth="1"/>
    <col min="16" max="16" width="0" hidden="1" customWidth="1"/>
  </cols>
  <sheetData>
    <row r="1" spans="1:15">
      <c r="A1" s="126"/>
      <c r="B1" s="126"/>
      <c r="C1" s="126"/>
      <c r="D1" s="150"/>
      <c r="E1" s="69">
        <v>1</v>
      </c>
      <c r="F1" s="69">
        <v>2</v>
      </c>
      <c r="G1" s="69">
        <v>3</v>
      </c>
      <c r="H1" s="69">
        <v>4</v>
      </c>
      <c r="I1" s="69">
        <v>5</v>
      </c>
      <c r="J1" s="69">
        <v>6</v>
      </c>
      <c r="K1" s="70">
        <v>7</v>
      </c>
      <c r="L1" s="69">
        <v>8</v>
      </c>
      <c r="M1" s="70">
        <v>9</v>
      </c>
      <c r="N1" s="69">
        <v>10</v>
      </c>
      <c r="O1" s="151"/>
    </row>
    <row r="2" spans="1:15">
      <c r="A2" s="152" t="s">
        <v>133</v>
      </c>
      <c r="B2" s="126"/>
      <c r="C2" s="153"/>
      <c r="D2" s="150"/>
      <c r="E2" s="126"/>
      <c r="F2" s="126"/>
      <c r="G2" s="126"/>
      <c r="H2" s="126"/>
      <c r="I2" s="126"/>
      <c r="J2" s="126"/>
      <c r="K2" s="126"/>
      <c r="L2" s="126"/>
      <c r="M2" s="126"/>
      <c r="N2" s="126"/>
      <c r="O2" s="151"/>
    </row>
    <row r="3" spans="1:15">
      <c r="A3" s="126"/>
      <c r="B3" s="153" t="s">
        <v>134</v>
      </c>
      <c r="C3" s="126" t="s">
        <v>135</v>
      </c>
      <c r="D3" s="150"/>
      <c r="E3" s="154">
        <v>60</v>
      </c>
      <c r="F3" s="154">
        <v>60</v>
      </c>
      <c r="G3" s="154">
        <v>60</v>
      </c>
      <c r="H3" s="154">
        <v>60</v>
      </c>
      <c r="I3" s="154">
        <v>60</v>
      </c>
      <c r="J3" s="154">
        <v>60</v>
      </c>
      <c r="K3" s="154">
        <v>60</v>
      </c>
      <c r="L3" s="154">
        <v>60</v>
      </c>
      <c r="M3" s="154">
        <v>60</v>
      </c>
      <c r="N3" s="154">
        <v>60</v>
      </c>
      <c r="O3" s="151"/>
    </row>
    <row r="4" spans="1:15">
      <c r="A4" s="126"/>
      <c r="B4" s="153" t="s">
        <v>136</v>
      </c>
      <c r="C4" s="126"/>
      <c r="D4" s="150"/>
      <c r="E4" s="155">
        <f>'Cash Flow Epoxy Resin'!D8</f>
        <v>89327742.840000004</v>
      </c>
      <c r="F4" s="155">
        <f>'Cash Flow Epoxy Resin'!E8-'Cash Flow Epoxy Resin'!D8</f>
        <v>31732582.24751997</v>
      </c>
      <c r="G4" s="155">
        <f>'Cash Flow Epoxy Resin'!F8-'Cash Flow Epoxy Resin'!E8</f>
        <v>16883487.627588153</v>
      </c>
      <c r="H4" s="155">
        <f>'Cash Flow Epoxy Resin'!G8-'Cash Flow Epoxy Resin'!F8</f>
        <v>9774305.112270385</v>
      </c>
      <c r="I4" s="155">
        <f>'Cash Flow Epoxy Resin'!H8-'Cash Flow Epoxy Resin'!G8</f>
        <v>107879011.02433074</v>
      </c>
      <c r="J4" s="155">
        <f>'Cash Flow Epoxy Resin'!I8-'Cash Flow Epoxy Resin'!H8</f>
        <v>26319257.186205208</v>
      </c>
      <c r="K4" s="155">
        <f>'Cash Flow Epoxy Resin'!J8-'Cash Flow Epoxy Resin'!I8</f>
        <v>26990290.367834449</v>
      </c>
      <c r="L4" s="155">
        <f>'Cash Flow Epoxy Resin'!K8-'Cash Flow Epoxy Resin'!J8</f>
        <v>4658575.6520681381</v>
      </c>
      <c r="M4" s="155">
        <f>'Cash Flow Epoxy Resin'!L8-'Cash Flow Epoxy Resin'!K8</f>
        <v>4703478.7808672786</v>
      </c>
      <c r="N4" s="155">
        <f>'Cash Flow Epoxy Resin'!M8-'Cash Flow Epoxy Resin'!L8</f>
        <v>4774030.962580204</v>
      </c>
      <c r="O4" s="155">
        <f>'Cash Flow'!N9-'Cash Flow'!M9</f>
        <v>-241793999.99999997</v>
      </c>
    </row>
    <row r="5" spans="1:15">
      <c r="A5" s="126"/>
      <c r="B5" s="153" t="s">
        <v>137</v>
      </c>
      <c r="C5" s="126"/>
      <c r="D5" s="150"/>
      <c r="E5" s="155">
        <f>+E4/365*E3</f>
        <v>14684012.521643836</v>
      </c>
      <c r="F5" s="155">
        <f t="shared" ref="F5:N5" si="0">+F4/365*F3</f>
        <v>5216314.8900032826</v>
      </c>
      <c r="G5" s="155">
        <f t="shared" si="0"/>
        <v>2775367.8291925732</v>
      </c>
      <c r="H5" s="155">
        <f t="shared" si="0"/>
        <v>1606735.0869485564</v>
      </c>
      <c r="I5" s="155">
        <f t="shared" si="0"/>
        <v>17733536.058794092</v>
      </c>
      <c r="J5" s="155">
        <f t="shared" si="0"/>
        <v>4326453.2360885274</v>
      </c>
      <c r="K5" s="155">
        <f t="shared" si="0"/>
        <v>4436760.0604659375</v>
      </c>
      <c r="L5" s="155">
        <f t="shared" si="0"/>
        <v>765793.25787421444</v>
      </c>
      <c r="M5" s="155">
        <f t="shared" si="0"/>
        <v>773174.59411516902</v>
      </c>
      <c r="N5" s="155">
        <f t="shared" si="0"/>
        <v>784772.21302688285</v>
      </c>
      <c r="O5" s="151"/>
    </row>
    <row r="6" spans="1:15">
      <c r="A6" s="126"/>
      <c r="B6" s="126"/>
      <c r="C6" s="126"/>
      <c r="D6" s="150"/>
      <c r="E6" s="126"/>
      <c r="F6" s="126"/>
      <c r="G6" s="126"/>
      <c r="H6" s="126"/>
      <c r="I6" s="126"/>
      <c r="J6" s="126"/>
      <c r="K6" s="126"/>
      <c r="L6" s="126"/>
      <c r="M6" s="126"/>
      <c r="N6" s="126"/>
      <c r="O6" s="151"/>
    </row>
    <row r="7" spans="1:15">
      <c r="A7" s="152" t="s">
        <v>138</v>
      </c>
      <c r="B7" s="126"/>
      <c r="C7" s="153"/>
      <c r="D7" s="150"/>
      <c r="E7" s="126"/>
      <c r="F7" s="126"/>
      <c r="G7" s="126"/>
      <c r="H7" s="126"/>
      <c r="I7" s="126"/>
      <c r="J7" s="126"/>
      <c r="K7" s="126"/>
      <c r="L7" s="126"/>
      <c r="M7" s="126"/>
      <c r="N7" s="126"/>
      <c r="O7" s="151"/>
    </row>
    <row r="8" spans="1:15">
      <c r="A8" s="126"/>
      <c r="B8" s="153" t="s">
        <v>139</v>
      </c>
      <c r="C8" s="126" t="s">
        <v>135</v>
      </c>
      <c r="D8" s="150"/>
      <c r="E8" s="154">
        <v>30</v>
      </c>
      <c r="F8" s="154">
        <v>30</v>
      </c>
      <c r="G8" s="154">
        <v>30</v>
      </c>
      <c r="H8" s="154">
        <v>30</v>
      </c>
      <c r="I8" s="154">
        <v>30</v>
      </c>
      <c r="J8" s="154">
        <v>30</v>
      </c>
      <c r="K8" s="154">
        <v>30</v>
      </c>
      <c r="L8" s="154">
        <v>30</v>
      </c>
      <c r="M8" s="154">
        <v>30</v>
      </c>
      <c r="N8" s="154">
        <v>30</v>
      </c>
      <c r="O8" s="151"/>
    </row>
    <row r="9" spans="1:15">
      <c r="A9" s="126"/>
      <c r="B9" s="153" t="s">
        <v>140</v>
      </c>
      <c r="C9" s="126"/>
      <c r="D9" s="150"/>
      <c r="E9" s="156">
        <f>'Cash Flow Epoxy Resin'!D32</f>
        <v>72708384.337891266</v>
      </c>
      <c r="F9" s="156">
        <f>'Cash Flow Epoxy Resin'!E32-'Cash Flow Epoxy Resin'!D32</f>
        <v>23608120.965234593</v>
      </c>
      <c r="G9" s="156">
        <f>'Cash Flow Epoxy Resin'!F32-'Cash Flow Epoxy Resin'!E32</f>
        <v>12860365.622086376</v>
      </c>
      <c r="H9" s="156">
        <f>'Cash Flow Epoxy Resin'!G32-'Cash Flow Epoxy Resin'!F32</f>
        <v>7425786.8952556551</v>
      </c>
      <c r="I9" s="156">
        <f>'Cash Flow Epoxy Resin'!H32-'Cash Flow Epoxy Resin'!G32</f>
        <v>77714215.516854942</v>
      </c>
      <c r="J9" s="156">
        <f>'Cash Flow Epoxy Resin'!I32-'Cash Flow Epoxy Resin'!H32</f>
        <v>29207697.350733757</v>
      </c>
      <c r="K9" s="156">
        <f>'Cash Flow Epoxy Resin'!J32-'Cash Flow Epoxy Resin'!I32</f>
        <v>20556380.257485896</v>
      </c>
      <c r="L9" s="156">
        <f>'Cash Flow Epoxy Resin'!K32-'Cash Flow Epoxy Resin'!J32</f>
        <v>3734326.4440449774</v>
      </c>
      <c r="M9" s="156">
        <f>'Cash Flow Epoxy Resin'!L32-'Cash Flow Epoxy Resin'!K32</f>
        <v>4017242.3759248257</v>
      </c>
      <c r="N9" s="156">
        <f>'Cash Flow Epoxy Resin'!M32-'Cash Flow Epoxy Resin'!L32</f>
        <v>4099855.3355528712</v>
      </c>
      <c r="O9" s="151"/>
    </row>
    <row r="10" spans="1:15">
      <c r="A10" s="126"/>
      <c r="B10" s="153" t="s">
        <v>141</v>
      </c>
      <c r="C10" s="126"/>
      <c r="D10" s="150"/>
      <c r="E10" s="155">
        <f>+E9/365*E8</f>
        <v>5976031.5894157207</v>
      </c>
      <c r="F10" s="155">
        <f t="shared" ref="F10:N10" si="1">+F9/365*F8</f>
        <v>1940393.5039918844</v>
      </c>
      <c r="G10" s="155">
        <f t="shared" si="1"/>
        <v>1057016.3525002501</v>
      </c>
      <c r="H10" s="155">
        <f t="shared" si="1"/>
        <v>610338.64892512234</v>
      </c>
      <c r="I10" s="155">
        <f t="shared" si="1"/>
        <v>6387469.7685086252</v>
      </c>
      <c r="J10" s="155">
        <f t="shared" si="1"/>
        <v>2400632.6589644183</v>
      </c>
      <c r="K10" s="155">
        <f t="shared" si="1"/>
        <v>1689565.5006152792</v>
      </c>
      <c r="L10" s="155">
        <f t="shared" si="1"/>
        <v>306930.94060643652</v>
      </c>
      <c r="M10" s="155">
        <f>+M9/365*M8</f>
        <v>330184.30487053358</v>
      </c>
      <c r="N10" s="155">
        <f t="shared" si="1"/>
        <v>336974.41114133189</v>
      </c>
      <c r="O10" s="151"/>
    </row>
    <row r="11" spans="1:15">
      <c r="A11" s="126"/>
      <c r="B11" s="126"/>
      <c r="C11" s="126"/>
      <c r="D11" s="150"/>
      <c r="E11" s="126"/>
      <c r="F11" s="126"/>
      <c r="G11" s="126"/>
      <c r="H11" s="126"/>
      <c r="I11" s="126"/>
      <c r="J11" s="126"/>
      <c r="K11" s="126"/>
      <c r="L11" s="126"/>
      <c r="M11" s="126"/>
      <c r="N11" s="126"/>
      <c r="O11" s="151"/>
    </row>
    <row r="12" spans="1:15">
      <c r="A12" s="152" t="s">
        <v>142</v>
      </c>
      <c r="B12" s="126"/>
      <c r="C12" s="153"/>
      <c r="D12" s="150"/>
      <c r="E12" s="126"/>
      <c r="F12" s="126"/>
      <c r="G12" s="126"/>
      <c r="H12" s="126"/>
      <c r="I12" s="126"/>
      <c r="J12" s="126"/>
      <c r="K12" s="126"/>
      <c r="L12" s="126"/>
      <c r="M12" s="126"/>
      <c r="N12" s="126"/>
      <c r="O12" s="151"/>
    </row>
    <row r="13" spans="1:15">
      <c r="A13" s="126"/>
      <c r="B13" s="153" t="s">
        <v>143</v>
      </c>
      <c r="C13" s="126" t="s">
        <v>135</v>
      </c>
      <c r="D13" s="150"/>
      <c r="E13" s="154">
        <v>60</v>
      </c>
      <c r="F13" s="154">
        <v>60</v>
      </c>
      <c r="G13" s="154">
        <v>60</v>
      </c>
      <c r="H13" s="154">
        <v>60</v>
      </c>
      <c r="I13" s="154">
        <v>60</v>
      </c>
      <c r="J13" s="154">
        <v>60</v>
      </c>
      <c r="K13" s="154">
        <v>60</v>
      </c>
      <c r="L13" s="154">
        <v>60</v>
      </c>
      <c r="M13" s="154">
        <v>60</v>
      </c>
      <c r="N13" s="154">
        <v>60</v>
      </c>
      <c r="O13" s="151"/>
    </row>
    <row r="14" spans="1:15">
      <c r="A14" s="126"/>
      <c r="B14" s="153" t="s">
        <v>144</v>
      </c>
      <c r="C14" s="126"/>
      <c r="D14" s="150"/>
      <c r="E14" s="156">
        <f>-E9</f>
        <v>-72708384.337891266</v>
      </c>
      <c r="F14" s="156">
        <f t="shared" ref="F14:N14" si="2">-F9</f>
        <v>-23608120.965234593</v>
      </c>
      <c r="G14" s="156">
        <f t="shared" si="2"/>
        <v>-12860365.622086376</v>
      </c>
      <c r="H14" s="156">
        <f t="shared" si="2"/>
        <v>-7425786.8952556551</v>
      </c>
      <c r="I14" s="156">
        <f t="shared" si="2"/>
        <v>-77714215.516854942</v>
      </c>
      <c r="J14" s="156">
        <f t="shared" si="2"/>
        <v>-29207697.350733757</v>
      </c>
      <c r="K14" s="156">
        <f t="shared" si="2"/>
        <v>-20556380.257485896</v>
      </c>
      <c r="L14" s="156">
        <f t="shared" si="2"/>
        <v>-3734326.4440449774</v>
      </c>
      <c r="M14" s="156">
        <f>-M9</f>
        <v>-4017242.3759248257</v>
      </c>
      <c r="N14" s="156">
        <f t="shared" si="2"/>
        <v>-4099855.3355528712</v>
      </c>
      <c r="O14" s="151"/>
    </row>
    <row r="15" spans="1:15">
      <c r="A15" s="126"/>
      <c r="B15" s="153" t="s">
        <v>144</v>
      </c>
      <c r="C15" s="126"/>
      <c r="D15" s="150"/>
      <c r="E15" s="155">
        <f>+E14/365*E13</f>
        <v>-11952063.178831441</v>
      </c>
      <c r="F15" s="155">
        <f t="shared" ref="F15:N15" si="3">+F14/365*F13</f>
        <v>-3880787.0079837688</v>
      </c>
      <c r="G15" s="155">
        <f t="shared" si="3"/>
        <v>-2114032.7050005002</v>
      </c>
      <c r="H15" s="155">
        <f t="shared" si="3"/>
        <v>-1220677.2978502447</v>
      </c>
      <c r="I15" s="155">
        <f t="shared" si="3"/>
        <v>-12774939.53701725</v>
      </c>
      <c r="J15" s="155">
        <f t="shared" si="3"/>
        <v>-4801265.3179288367</v>
      </c>
      <c r="K15" s="155">
        <f t="shared" si="3"/>
        <v>-3379131.0012305584</v>
      </c>
      <c r="L15" s="155">
        <f t="shared" si="3"/>
        <v>-613861.88121287304</v>
      </c>
      <c r="M15" s="155">
        <f t="shared" si="3"/>
        <v>-660368.60974106716</v>
      </c>
      <c r="N15" s="155">
        <f t="shared" si="3"/>
        <v>-673948.82228266378</v>
      </c>
      <c r="O15" s="151"/>
    </row>
    <row r="16" spans="1:15">
      <c r="A16" s="126"/>
      <c r="B16" s="126"/>
      <c r="C16" s="126"/>
      <c r="D16" s="150"/>
      <c r="E16" s="126"/>
      <c r="F16" s="126"/>
      <c r="G16" s="126"/>
      <c r="H16" s="126"/>
      <c r="I16" s="126"/>
      <c r="J16" s="126"/>
      <c r="K16" s="126"/>
      <c r="L16" s="126"/>
      <c r="M16" s="126"/>
      <c r="N16" s="126"/>
      <c r="O16" s="151"/>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6085CC-383B-42A4-8572-88A8537F8F2E}">
  <dimension ref="A1:D16"/>
  <sheetViews>
    <sheetView showGridLines="0" zoomScale="84" zoomScaleNormal="84" workbookViewId="0">
      <selection activeCell="C1" sqref="C1"/>
    </sheetView>
  </sheetViews>
  <sheetFormatPr defaultRowHeight="15"/>
  <cols>
    <col min="1" max="1" width="6.42578125" style="205" bestFit="1" customWidth="1"/>
    <col min="2" max="2" width="31.5703125" style="205" bestFit="1" customWidth="1"/>
    <col min="3" max="3" width="35.7109375" style="205" bestFit="1" customWidth="1"/>
    <col min="4" max="4" width="35" style="205" bestFit="1" customWidth="1"/>
    <col min="5" max="16384" width="9.140625" style="205"/>
  </cols>
  <sheetData>
    <row r="1" spans="1:4">
      <c r="A1" s="309" t="s">
        <v>360</v>
      </c>
      <c r="B1" s="310" t="s">
        <v>361</v>
      </c>
      <c r="C1" s="311" t="s">
        <v>362</v>
      </c>
      <c r="D1" s="311" t="s">
        <v>363</v>
      </c>
    </row>
    <row r="2" spans="1:4">
      <c r="A2" s="312" t="s">
        <v>364</v>
      </c>
      <c r="B2" s="321">
        <v>2500</v>
      </c>
      <c r="C2" s="321">
        <v>2300</v>
      </c>
      <c r="D2" s="321">
        <v>2373.6</v>
      </c>
    </row>
    <row r="3" spans="1:4">
      <c r="A3" s="312" t="s">
        <v>365</v>
      </c>
      <c r="B3" s="321">
        <v>2915</v>
      </c>
      <c r="C3" s="321">
        <v>2681.8</v>
      </c>
      <c r="D3" s="321">
        <v>2767.6176</v>
      </c>
    </row>
    <row r="4" spans="1:4">
      <c r="A4" s="312" t="s">
        <v>366</v>
      </c>
      <c r="B4" s="322">
        <v>3120</v>
      </c>
      <c r="C4" s="321">
        <v>2870.4</v>
      </c>
      <c r="D4" s="321">
        <v>2962.2528000000002</v>
      </c>
    </row>
    <row r="5" spans="1:4">
      <c r="A5" s="312" t="s">
        <v>367</v>
      </c>
      <c r="B5" s="322">
        <v>3202</v>
      </c>
      <c r="C5" s="321">
        <v>2945.84</v>
      </c>
      <c r="D5" s="321">
        <v>3040.1068800000003</v>
      </c>
    </row>
    <row r="6" spans="1:4">
      <c r="A6" s="312" t="s">
        <v>368</v>
      </c>
      <c r="B6" s="322">
        <v>2805</v>
      </c>
      <c r="C6" s="321">
        <v>2580.6</v>
      </c>
      <c r="D6" s="321">
        <v>2663.1792</v>
      </c>
    </row>
    <row r="7" spans="1:4">
      <c r="A7" s="312" t="s">
        <v>369</v>
      </c>
      <c r="B7" s="322">
        <v>3980</v>
      </c>
      <c r="C7" s="321">
        <v>3450</v>
      </c>
      <c r="D7" s="321">
        <v>3050</v>
      </c>
    </row>
    <row r="8" spans="1:4">
      <c r="A8" s="312" t="s">
        <v>370</v>
      </c>
      <c r="B8" s="321">
        <v>4340</v>
      </c>
      <c r="C8" s="321">
        <v>4135</v>
      </c>
      <c r="D8" s="321">
        <v>4198</v>
      </c>
    </row>
    <row r="9" spans="1:4">
      <c r="A9" s="312" t="s">
        <v>371</v>
      </c>
      <c r="B9" s="321">
        <v>4401</v>
      </c>
      <c r="C9" s="321">
        <v>4149</v>
      </c>
      <c r="D9" s="321">
        <v>4223</v>
      </c>
    </row>
    <row r="10" spans="1:4">
      <c r="A10" s="312" t="s">
        <v>372</v>
      </c>
      <c r="B10" s="321">
        <v>4422.5649000000003</v>
      </c>
      <c r="C10" s="321">
        <v>4172.6493</v>
      </c>
      <c r="D10" s="321">
        <v>4241.1589000000004</v>
      </c>
    </row>
    <row r="11" spans="1:4">
      <c r="A11" s="312" t="s">
        <v>373</v>
      </c>
      <c r="B11" s="321">
        <v>4441.1396725800005</v>
      </c>
      <c r="C11" s="321">
        <v>4194.3470763599998</v>
      </c>
      <c r="D11" s="321">
        <v>4268.3023169600001</v>
      </c>
    </row>
    <row r="12" spans="1:4">
      <c r="A12" s="312" t="s">
        <v>374</v>
      </c>
      <c r="B12" s="321">
        <v>4460.6806871393528</v>
      </c>
      <c r="C12" s="321">
        <v>4219.0937241105239</v>
      </c>
      <c r="D12" s="321">
        <v>4294.3389610934564</v>
      </c>
    </row>
    <row r="13" spans="1:4">
      <c r="A13" s="312" t="s">
        <v>375</v>
      </c>
      <c r="B13" s="321">
        <v>4483.4301586437632</v>
      </c>
      <c r="C13" s="321">
        <v>4239.7672833586657</v>
      </c>
      <c r="D13" s="321">
        <v>4318.3872592755797</v>
      </c>
    </row>
    <row r="14" spans="1:4">
      <c r="A14" s="312" t="s">
        <v>376</v>
      </c>
      <c r="B14" s="321">
        <v>4504.5022803893889</v>
      </c>
      <c r="C14" s="321">
        <v>4262.6620266888021</v>
      </c>
      <c r="D14" s="321">
        <v>4343.8657441053056</v>
      </c>
    </row>
    <row r="15" spans="1:4">
      <c r="A15" s="312" t="s">
        <v>377</v>
      </c>
      <c r="B15" s="321">
        <v>4529.2770429315306</v>
      </c>
      <c r="C15" s="321">
        <v>4283.9753368222464</v>
      </c>
      <c r="D15" s="321">
        <v>4364.2819131026008</v>
      </c>
    </row>
    <row r="16" spans="1:4">
      <c r="A16" s="312" t="s">
        <v>378</v>
      </c>
      <c r="B16" s="321">
        <v>4551.4705004418947</v>
      </c>
      <c r="C16" s="321">
        <v>4308.3939962421327</v>
      </c>
      <c r="D16" s="321">
        <v>4386.5397508594242</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9F8AC-0A85-41D3-8798-DDDF3B631C3A}">
  <dimension ref="A1:E79"/>
  <sheetViews>
    <sheetView showGridLines="0" topLeftCell="A69" workbookViewId="0">
      <selection activeCell="E75" sqref="E75"/>
    </sheetView>
  </sheetViews>
  <sheetFormatPr defaultRowHeight="15"/>
  <cols>
    <col min="1" max="5" width="20.85546875" style="205" customWidth="1"/>
    <col min="6" max="16384" width="9.140625" style="205"/>
  </cols>
  <sheetData>
    <row r="1" spans="1:5">
      <c r="A1" s="305"/>
      <c r="B1" s="305"/>
      <c r="C1" s="436" t="s">
        <v>321</v>
      </c>
      <c r="D1" s="437"/>
      <c r="E1" s="438"/>
    </row>
    <row r="2" spans="1:5">
      <c r="A2" s="308" t="s">
        <v>304</v>
      </c>
      <c r="B2" s="308" t="s">
        <v>305</v>
      </c>
      <c r="C2" s="304" t="s">
        <v>318</v>
      </c>
      <c r="D2" s="308" t="s">
        <v>319</v>
      </c>
      <c r="E2" s="308" t="s">
        <v>320</v>
      </c>
    </row>
    <row r="3" spans="1:5">
      <c r="A3" s="288">
        <v>2016</v>
      </c>
      <c r="B3" s="288" t="s">
        <v>306</v>
      </c>
      <c r="C3" s="289">
        <v>743.81887110362254</v>
      </c>
      <c r="D3" s="289">
        <v>1032.5317965762392</v>
      </c>
      <c r="E3" s="289">
        <v>594.10247543635592</v>
      </c>
    </row>
    <row r="4" spans="1:5">
      <c r="A4" s="288">
        <v>2016</v>
      </c>
      <c r="B4" s="288" t="s">
        <v>307</v>
      </c>
      <c r="C4" s="289">
        <v>860.07502702702698</v>
      </c>
      <c r="D4" s="289">
        <v>1118.7220132545226</v>
      </c>
      <c r="E4" s="289">
        <v>577.73623439392975</v>
      </c>
    </row>
    <row r="5" spans="1:5">
      <c r="A5" s="288">
        <v>2016</v>
      </c>
      <c r="B5" s="288" t="s">
        <v>308</v>
      </c>
      <c r="C5" s="289">
        <v>870.07134548274519</v>
      </c>
      <c r="D5" s="289">
        <v>1057.035811338015</v>
      </c>
      <c r="E5" s="289">
        <v>591.08337902337541</v>
      </c>
    </row>
    <row r="6" spans="1:5">
      <c r="A6" s="288">
        <v>2016</v>
      </c>
      <c r="B6" s="288" t="s">
        <v>309</v>
      </c>
      <c r="C6" s="289">
        <v>913.0544041450778</v>
      </c>
      <c r="D6" s="289">
        <v>1027.0194552529183</v>
      </c>
      <c r="E6" s="289">
        <v>600.45207686054243</v>
      </c>
    </row>
    <row r="7" spans="1:5">
      <c r="A7" s="288">
        <v>2016</v>
      </c>
      <c r="B7" s="288" t="s">
        <v>310</v>
      </c>
      <c r="C7" s="289">
        <v>987.00772489409417</v>
      </c>
      <c r="D7" s="289">
        <v>1013.581225668394</v>
      </c>
      <c r="E7" s="289">
        <v>614.11296000000004</v>
      </c>
    </row>
    <row r="8" spans="1:5">
      <c r="A8" s="288">
        <v>2016</v>
      </c>
      <c r="B8" s="288" t="s">
        <v>311</v>
      </c>
      <c r="C8" s="289">
        <v>1117.52457727094</v>
      </c>
      <c r="D8" s="289">
        <v>1024.5950137867649</v>
      </c>
      <c r="E8" s="289">
        <v>601.15355745239651</v>
      </c>
    </row>
    <row r="9" spans="1:5">
      <c r="A9" s="288">
        <v>2016</v>
      </c>
      <c r="B9" s="288" t="s">
        <v>312</v>
      </c>
      <c r="C9" s="289">
        <v>1215.7526041666667</v>
      </c>
      <c r="D9" s="289">
        <v>1011.6024847051759</v>
      </c>
      <c r="E9" s="289">
        <v>616.2107041105354</v>
      </c>
    </row>
    <row r="10" spans="1:5">
      <c r="A10" s="288">
        <v>2016</v>
      </c>
      <c r="B10" s="288" t="s">
        <v>313</v>
      </c>
      <c r="C10" s="289">
        <v>1167.677658142665</v>
      </c>
      <c r="D10" s="289">
        <v>993.44937284130162</v>
      </c>
      <c r="E10" s="289">
        <v>571.23</v>
      </c>
    </row>
    <row r="11" spans="1:5">
      <c r="A11" s="288">
        <v>2016</v>
      </c>
      <c r="B11" s="288" t="s">
        <v>314</v>
      </c>
      <c r="C11" s="289">
        <v>1203.1596346131887</v>
      </c>
      <c r="D11" s="289">
        <v>1140.442794279428</v>
      </c>
      <c r="E11" s="289">
        <v>548.34</v>
      </c>
    </row>
    <row r="12" spans="1:5">
      <c r="A12" s="288">
        <v>2016</v>
      </c>
      <c r="B12" s="288" t="s">
        <v>315</v>
      </c>
      <c r="C12" s="289">
        <v>1185.1100047415837</v>
      </c>
      <c r="D12" s="289">
        <v>957.26522222596623</v>
      </c>
      <c r="E12" s="289">
        <v>526</v>
      </c>
    </row>
    <row r="13" spans="1:5">
      <c r="A13" s="288">
        <v>2016</v>
      </c>
      <c r="B13" s="288" t="s">
        <v>316</v>
      </c>
      <c r="C13" s="289">
        <v>1088.4660654959659</v>
      </c>
      <c r="D13" s="289">
        <v>966.31766005475242</v>
      </c>
      <c r="E13" s="289">
        <v>503.24</v>
      </c>
    </row>
    <row r="14" spans="1:5">
      <c r="A14" s="288">
        <v>2016</v>
      </c>
      <c r="B14" s="288" t="s">
        <v>317</v>
      </c>
      <c r="C14" s="289">
        <v>1027.2162321113508</v>
      </c>
      <c r="D14" s="289">
        <v>1038.0427728613568</v>
      </c>
      <c r="E14" s="289">
        <v>480.35</v>
      </c>
    </row>
    <row r="15" spans="1:5">
      <c r="A15" s="288">
        <v>2017</v>
      </c>
      <c r="B15" s="288" t="s">
        <v>306</v>
      </c>
      <c r="C15" s="289">
        <v>994.10555264536401</v>
      </c>
      <c r="D15" s="289">
        <v>1041.1454102355808</v>
      </c>
      <c r="E15" s="289">
        <v>435.82289012142104</v>
      </c>
    </row>
    <row r="16" spans="1:5">
      <c r="A16" s="288">
        <v>2017</v>
      </c>
      <c r="B16" s="288" t="s">
        <v>307</v>
      </c>
      <c r="C16" s="289">
        <v>1468.4495247880811</v>
      </c>
      <c r="D16" s="289">
        <v>1075.6663503838524</v>
      </c>
      <c r="E16" s="289">
        <v>455.43201573504223</v>
      </c>
    </row>
    <row r="17" spans="1:5">
      <c r="A17" s="288">
        <v>2017</v>
      </c>
      <c r="B17" s="288" t="s">
        <v>308</v>
      </c>
      <c r="C17" s="289">
        <v>1300.7059579939992</v>
      </c>
      <c r="D17" s="289">
        <v>1207.0910290237466</v>
      </c>
      <c r="E17" s="289">
        <v>495.03682701081999</v>
      </c>
    </row>
    <row r="18" spans="1:5">
      <c r="A18" s="288">
        <v>2017</v>
      </c>
      <c r="B18" s="288" t="s">
        <v>309</v>
      </c>
      <c r="C18" s="289">
        <v>1473.8604256922208</v>
      </c>
      <c r="D18" s="289">
        <v>1070.6653497351172</v>
      </c>
      <c r="E18" s="289">
        <v>502.64183623178207</v>
      </c>
    </row>
    <row r="19" spans="1:5">
      <c r="A19" s="288">
        <v>2017</v>
      </c>
      <c r="B19" s="288" t="s">
        <v>310</v>
      </c>
      <c r="C19" s="289">
        <v>1461.3684012066367</v>
      </c>
      <c r="D19" s="289">
        <v>1064.4138613861387</v>
      </c>
      <c r="E19" s="289">
        <v>517.42976090443813</v>
      </c>
    </row>
    <row r="20" spans="1:5">
      <c r="A20" s="288">
        <v>2017</v>
      </c>
      <c r="B20" s="288" t="s">
        <v>311</v>
      </c>
      <c r="C20" s="289">
        <v>1248.4952330508474</v>
      </c>
      <c r="D20" s="289">
        <v>1078.1075861195541</v>
      </c>
      <c r="E20" s="289">
        <v>543.23092532467535</v>
      </c>
    </row>
    <row r="21" spans="1:5">
      <c r="A21" s="288">
        <v>2017</v>
      </c>
      <c r="B21" s="288" t="s">
        <v>312</v>
      </c>
      <c r="C21" s="289">
        <v>1063.5023277467412</v>
      </c>
      <c r="D21" s="289">
        <v>1085.2192638997651</v>
      </c>
      <c r="E21" s="289">
        <v>537.38865959743475</v>
      </c>
    </row>
    <row r="22" spans="1:5">
      <c r="A22" s="288">
        <v>2017</v>
      </c>
      <c r="B22" s="288" t="s">
        <v>313</v>
      </c>
      <c r="C22" s="289">
        <v>973.37102922490476</v>
      </c>
      <c r="D22" s="289">
        <v>1075.2119473066389</v>
      </c>
      <c r="E22" s="289">
        <v>536.49979760362703</v>
      </c>
    </row>
    <row r="23" spans="1:5">
      <c r="A23" s="288">
        <v>2017</v>
      </c>
      <c r="B23" s="288" t="s">
        <v>314</v>
      </c>
      <c r="C23" s="289">
        <v>1081.2665112665111</v>
      </c>
      <c r="D23" s="289">
        <v>1077.3234599699506</v>
      </c>
      <c r="E23" s="289">
        <v>530.32455304387599</v>
      </c>
    </row>
    <row r="24" spans="1:5">
      <c r="A24" s="288">
        <v>2017</v>
      </c>
      <c r="B24" s="288" t="s">
        <v>315</v>
      </c>
      <c r="C24" s="289">
        <v>1135.3901270069496</v>
      </c>
      <c r="D24" s="289">
        <v>1238.6600000000001</v>
      </c>
      <c r="E24" s="289">
        <v>529.00975043528729</v>
      </c>
    </row>
    <row r="25" spans="1:5">
      <c r="A25" s="288">
        <v>2017</v>
      </c>
      <c r="B25" s="288" t="s">
        <v>316</v>
      </c>
      <c r="C25" s="289">
        <v>1191.7731149778233</v>
      </c>
      <c r="D25" s="289">
        <v>1407.44</v>
      </c>
      <c r="E25" s="289">
        <v>557.44133647874435</v>
      </c>
    </row>
    <row r="26" spans="1:5">
      <c r="A26" s="288">
        <v>2017</v>
      </c>
      <c r="B26" s="288" t="s">
        <v>317</v>
      </c>
      <c r="C26" s="289">
        <v>1252.6720588235294</v>
      </c>
      <c r="D26" s="289">
        <v>1562.34</v>
      </c>
      <c r="E26" s="289">
        <v>671.94838410651835</v>
      </c>
    </row>
    <row r="27" spans="1:5">
      <c r="A27" s="288">
        <v>2018</v>
      </c>
      <c r="B27" s="288" t="s">
        <v>306</v>
      </c>
      <c r="C27" s="289">
        <v>1359.0586245772267</v>
      </c>
      <c r="D27" s="289">
        <v>1724.5806911129491</v>
      </c>
      <c r="E27" s="289">
        <v>787.28994261552396</v>
      </c>
    </row>
    <row r="28" spans="1:5">
      <c r="A28" s="288">
        <v>2018</v>
      </c>
      <c r="B28" s="288" t="s">
        <v>307</v>
      </c>
      <c r="C28" s="289">
        <v>1324.34</v>
      </c>
      <c r="D28" s="289">
        <v>2045.9768427919114</v>
      </c>
      <c r="E28" s="289">
        <v>735.51236985385424</v>
      </c>
    </row>
    <row r="29" spans="1:5">
      <c r="A29" s="288">
        <v>2018</v>
      </c>
      <c r="B29" s="288" t="s">
        <v>308</v>
      </c>
      <c r="C29" s="289">
        <v>1435.45</v>
      </c>
      <c r="D29" s="289">
        <v>2260.6646595646134</v>
      </c>
      <c r="E29" s="289">
        <v>778.76</v>
      </c>
    </row>
    <row r="30" spans="1:5">
      <c r="A30" s="288">
        <v>2018</v>
      </c>
      <c r="B30" s="288" t="s">
        <v>309</v>
      </c>
      <c r="C30" s="289">
        <v>1367.34</v>
      </c>
      <c r="D30" s="289">
        <v>2102.8841635338345</v>
      </c>
      <c r="E30" s="289">
        <v>722.76</v>
      </c>
    </row>
    <row r="31" spans="1:5">
      <c r="A31" s="288">
        <v>2018</v>
      </c>
      <c r="B31" s="288" t="s">
        <v>310</v>
      </c>
      <c r="C31" s="289">
        <v>1327.44</v>
      </c>
      <c r="D31" s="289">
        <v>2183.7025097060455</v>
      </c>
      <c r="E31" s="289">
        <v>666.76</v>
      </c>
    </row>
    <row r="32" spans="1:5">
      <c r="A32" s="288">
        <v>2018</v>
      </c>
      <c r="B32" s="288" t="s">
        <v>311</v>
      </c>
      <c r="C32" s="289">
        <v>1398.26</v>
      </c>
      <c r="D32" s="289">
        <v>2179.3550391316453</v>
      </c>
      <c r="E32" s="289">
        <v>610.76</v>
      </c>
    </row>
    <row r="33" spans="1:5">
      <c r="A33" s="288">
        <v>2018</v>
      </c>
      <c r="B33" s="288" t="s">
        <v>312</v>
      </c>
      <c r="C33" s="289">
        <v>1497.55</v>
      </c>
      <c r="D33" s="289">
        <v>2075.2564829612825</v>
      </c>
      <c r="E33" s="289">
        <v>554.76</v>
      </c>
    </row>
    <row r="34" spans="1:5">
      <c r="A34" s="288">
        <v>2018</v>
      </c>
      <c r="B34" s="288" t="s">
        <v>313</v>
      </c>
      <c r="C34" s="289">
        <v>1536.76</v>
      </c>
      <c r="D34" s="289">
        <v>2072.0546654099908</v>
      </c>
      <c r="E34" s="289">
        <v>498.76</v>
      </c>
    </row>
    <row r="35" spans="1:5">
      <c r="A35" s="288">
        <v>2018</v>
      </c>
      <c r="B35" s="288" t="s">
        <v>314</v>
      </c>
      <c r="C35" s="289">
        <v>1416.78</v>
      </c>
      <c r="D35" s="289">
        <v>1923.4845072959827</v>
      </c>
      <c r="E35" s="289">
        <v>442.76</v>
      </c>
    </row>
    <row r="36" spans="1:5">
      <c r="A36" s="288">
        <v>2018</v>
      </c>
      <c r="B36" s="288" t="s">
        <v>315</v>
      </c>
      <c r="C36" s="289">
        <v>1384.35</v>
      </c>
      <c r="D36" s="289">
        <v>1888.34</v>
      </c>
      <c r="E36" s="289">
        <v>470.53</v>
      </c>
    </row>
    <row r="37" spans="1:5">
      <c r="A37" s="288">
        <v>2018</v>
      </c>
      <c r="B37" s="288" t="s">
        <v>316</v>
      </c>
      <c r="C37" s="289">
        <v>1348.76</v>
      </c>
      <c r="D37" s="289">
        <v>1854.34</v>
      </c>
      <c r="E37" s="289">
        <v>443.88</v>
      </c>
    </row>
    <row r="38" spans="1:5">
      <c r="A38" s="288">
        <v>2018</v>
      </c>
      <c r="B38" s="288" t="s">
        <v>317</v>
      </c>
      <c r="C38" s="289">
        <v>1279.98</v>
      </c>
      <c r="D38" s="289">
        <v>1785.46</v>
      </c>
      <c r="E38" s="289">
        <v>444.67</v>
      </c>
    </row>
    <row r="39" spans="1:5">
      <c r="A39" s="288">
        <v>2019</v>
      </c>
      <c r="B39" s="288" t="s">
        <v>306</v>
      </c>
      <c r="C39" s="289">
        <v>1143.07</v>
      </c>
      <c r="D39" s="289">
        <v>1646.92</v>
      </c>
      <c r="E39" s="289">
        <v>426.71</v>
      </c>
    </row>
    <row r="40" spans="1:5">
      <c r="A40" s="288">
        <v>2019</v>
      </c>
      <c r="B40" s="288" t="s">
        <v>307</v>
      </c>
      <c r="C40" s="289">
        <v>1154.6400000000001</v>
      </c>
      <c r="D40" s="289">
        <v>1699.17</v>
      </c>
      <c r="E40" s="289">
        <v>426.06</v>
      </c>
    </row>
    <row r="41" spans="1:5">
      <c r="A41" s="288">
        <v>2019</v>
      </c>
      <c r="B41" s="288" t="s">
        <v>308</v>
      </c>
      <c r="C41" s="289">
        <v>1202.75</v>
      </c>
      <c r="D41" s="288">
        <v>1675.79</v>
      </c>
      <c r="E41" s="289">
        <v>439.66</v>
      </c>
    </row>
    <row r="42" spans="1:5">
      <c r="A42" s="288">
        <v>2019</v>
      </c>
      <c r="B42" s="288" t="s">
        <v>309</v>
      </c>
      <c r="C42" s="289">
        <v>1213.0899999999999</v>
      </c>
      <c r="D42" s="288">
        <v>1682.77</v>
      </c>
      <c r="E42" s="289">
        <v>415.22</v>
      </c>
    </row>
    <row r="43" spans="1:5">
      <c r="A43" s="288">
        <v>2019</v>
      </c>
      <c r="B43" s="288" t="s">
        <v>310</v>
      </c>
      <c r="C43" s="289">
        <v>1184.6500000000001</v>
      </c>
      <c r="D43" s="288">
        <v>1671.68</v>
      </c>
      <c r="E43" s="289">
        <v>412.98</v>
      </c>
    </row>
    <row r="44" spans="1:5">
      <c r="A44" s="288">
        <v>2019</v>
      </c>
      <c r="B44" s="288" t="s">
        <v>311</v>
      </c>
      <c r="C44" s="289">
        <v>1179.6300000000001</v>
      </c>
      <c r="D44" s="288">
        <v>1629.3</v>
      </c>
      <c r="E44" s="289">
        <v>409.49</v>
      </c>
    </row>
    <row r="45" spans="1:5">
      <c r="A45" s="288">
        <v>2019</v>
      </c>
      <c r="B45" s="288" t="s">
        <v>312</v>
      </c>
      <c r="C45" s="289">
        <v>1210.1500000000001</v>
      </c>
      <c r="D45" s="288">
        <v>1652.32</v>
      </c>
      <c r="E45" s="289">
        <v>406.54</v>
      </c>
    </row>
    <row r="46" spans="1:5">
      <c r="A46" s="288">
        <v>2019</v>
      </c>
      <c r="B46" s="288" t="s">
        <v>313</v>
      </c>
      <c r="C46" s="289">
        <v>1206.8900000000001</v>
      </c>
      <c r="D46" s="288">
        <v>1562.36</v>
      </c>
      <c r="E46" s="289">
        <v>392.28</v>
      </c>
    </row>
    <row r="47" spans="1:5">
      <c r="A47" s="288">
        <v>2019</v>
      </c>
      <c r="B47" s="288" t="s">
        <v>314</v>
      </c>
      <c r="C47" s="289">
        <v>1208.69</v>
      </c>
      <c r="D47" s="288">
        <v>1610.66</v>
      </c>
      <c r="E47" s="289">
        <v>373.25</v>
      </c>
    </row>
    <row r="48" spans="1:5">
      <c r="A48" s="288">
        <v>2019</v>
      </c>
      <c r="B48" s="288" t="s">
        <v>315</v>
      </c>
      <c r="C48" s="289">
        <v>1233.8</v>
      </c>
      <c r="D48" s="288">
        <v>1547.28</v>
      </c>
      <c r="E48" s="289">
        <v>380.91</v>
      </c>
    </row>
    <row r="49" spans="1:5">
      <c r="A49" s="288">
        <v>2019</v>
      </c>
      <c r="B49" s="288" t="s">
        <v>316</v>
      </c>
      <c r="C49" s="289">
        <v>1245.28</v>
      </c>
      <c r="D49" s="288">
        <v>1511.12</v>
      </c>
      <c r="E49" s="289">
        <v>369.39</v>
      </c>
    </row>
    <row r="50" spans="1:5">
      <c r="A50" s="288">
        <v>2019</v>
      </c>
      <c r="B50" s="288" t="s">
        <v>317</v>
      </c>
      <c r="C50" s="289">
        <v>1269.25</v>
      </c>
      <c r="D50" s="288">
        <v>1401.45</v>
      </c>
      <c r="E50" s="289">
        <v>392.08</v>
      </c>
    </row>
    <row r="51" spans="1:5">
      <c r="A51" s="288">
        <v>2020</v>
      </c>
      <c r="B51" s="288" t="s">
        <v>306</v>
      </c>
      <c r="C51" s="289">
        <v>1268.07</v>
      </c>
      <c r="D51" s="288">
        <v>1442.01</v>
      </c>
      <c r="E51" s="289">
        <v>386.73</v>
      </c>
    </row>
    <row r="52" spans="1:5">
      <c r="A52" s="288">
        <v>2020</v>
      </c>
      <c r="B52" s="288" t="s">
        <v>307</v>
      </c>
      <c r="C52" s="289">
        <v>1282.32</v>
      </c>
      <c r="D52" s="288">
        <v>1477.82</v>
      </c>
      <c r="E52" s="289">
        <v>369.03</v>
      </c>
    </row>
    <row r="53" spans="1:5">
      <c r="A53" s="288">
        <v>2020</v>
      </c>
      <c r="B53" s="288" t="s">
        <v>308</v>
      </c>
      <c r="C53" s="289">
        <v>1218.6300000000001</v>
      </c>
      <c r="D53" s="288">
        <v>1468.47</v>
      </c>
      <c r="E53" s="289">
        <v>348.2</v>
      </c>
    </row>
    <row r="54" spans="1:5">
      <c r="A54" s="288">
        <v>2020</v>
      </c>
      <c r="B54" s="288" t="s">
        <v>309</v>
      </c>
      <c r="C54" s="289">
        <v>1173.0899999999999</v>
      </c>
      <c r="D54" s="288">
        <v>1393.9</v>
      </c>
      <c r="E54" s="289">
        <v>301.77</v>
      </c>
    </row>
    <row r="55" spans="1:5">
      <c r="A55" s="288">
        <v>2020</v>
      </c>
      <c r="B55" s="288" t="s">
        <v>310</v>
      </c>
      <c r="C55" s="289">
        <v>1211.3800000000001</v>
      </c>
      <c r="D55" s="288">
        <v>1416.6</v>
      </c>
      <c r="E55" s="289">
        <v>283.58</v>
      </c>
    </row>
    <row r="56" spans="1:5">
      <c r="A56" s="288">
        <v>2020</v>
      </c>
      <c r="B56" s="288" t="s">
        <v>311</v>
      </c>
      <c r="C56" s="289">
        <v>1236.1099999999999</v>
      </c>
      <c r="D56" s="288">
        <v>1389.31</v>
      </c>
      <c r="E56" s="289">
        <v>299.77999999999997</v>
      </c>
    </row>
    <row r="57" spans="1:5">
      <c r="A57" s="288">
        <v>2020</v>
      </c>
      <c r="B57" s="288" t="s">
        <v>312</v>
      </c>
      <c r="C57" s="289">
        <v>1259.97</v>
      </c>
      <c r="D57" s="288">
        <v>1409.46</v>
      </c>
      <c r="E57" s="289">
        <v>304.31</v>
      </c>
    </row>
    <row r="58" spans="1:5">
      <c r="A58" s="288">
        <v>2020</v>
      </c>
      <c r="B58" s="288" t="s">
        <v>313</v>
      </c>
      <c r="C58" s="289">
        <v>1257.45</v>
      </c>
      <c r="D58" s="288">
        <v>1402.23</v>
      </c>
      <c r="E58" s="289">
        <v>337.82</v>
      </c>
    </row>
    <row r="59" spans="1:5">
      <c r="A59" s="288">
        <v>2020</v>
      </c>
      <c r="B59" s="288" t="s">
        <v>314</v>
      </c>
      <c r="C59" s="289">
        <v>1284.92</v>
      </c>
      <c r="D59" s="288">
        <v>1433.13</v>
      </c>
      <c r="E59" s="289">
        <v>349.17</v>
      </c>
    </row>
    <row r="60" spans="1:5">
      <c r="A60" s="288">
        <v>2020</v>
      </c>
      <c r="B60" s="288" t="s">
        <v>315</v>
      </c>
      <c r="C60" s="289">
        <v>1271.49</v>
      </c>
      <c r="D60" s="288">
        <v>1449.64</v>
      </c>
      <c r="E60" s="289">
        <v>343.78</v>
      </c>
    </row>
    <row r="61" spans="1:5">
      <c r="A61" s="288">
        <v>2020</v>
      </c>
      <c r="B61" s="288" t="s">
        <v>316</v>
      </c>
      <c r="C61" s="289">
        <v>1306.99</v>
      </c>
      <c r="D61" s="288">
        <v>1447.12</v>
      </c>
      <c r="E61" s="289">
        <v>288.75</v>
      </c>
    </row>
    <row r="62" spans="1:5">
      <c r="A62" s="288">
        <v>2020</v>
      </c>
      <c r="B62" s="288" t="s">
        <v>317</v>
      </c>
      <c r="C62" s="289">
        <v>1351.3</v>
      </c>
      <c r="D62" s="288">
        <v>1474.89</v>
      </c>
      <c r="E62" s="289">
        <v>280.72000000000003</v>
      </c>
    </row>
    <row r="63" spans="1:5">
      <c r="A63" s="288">
        <v>2021</v>
      </c>
      <c r="B63" s="288" t="s">
        <v>306</v>
      </c>
      <c r="C63" s="289">
        <v>1602.16</v>
      </c>
      <c r="D63" s="288">
        <v>1558.26</v>
      </c>
      <c r="E63" s="289">
        <v>274.89</v>
      </c>
    </row>
    <row r="64" spans="1:5">
      <c r="A64" s="288">
        <v>2021</v>
      </c>
      <c r="B64" s="288" t="s">
        <v>307</v>
      </c>
      <c r="C64" s="289">
        <v>1874.93</v>
      </c>
      <c r="D64" s="288">
        <v>1755.97</v>
      </c>
      <c r="E64" s="289">
        <v>306.17</v>
      </c>
    </row>
    <row r="65" spans="1:5">
      <c r="A65" s="288">
        <v>2021</v>
      </c>
      <c r="B65" s="288" t="s">
        <v>308</v>
      </c>
      <c r="C65" s="289">
        <v>2240.7199999999998</v>
      </c>
      <c r="D65" s="288">
        <v>1771.1</v>
      </c>
      <c r="E65" s="289">
        <v>324.48</v>
      </c>
    </row>
    <row r="66" spans="1:5">
      <c r="A66" s="288">
        <v>2021</v>
      </c>
      <c r="B66" s="288" t="s">
        <v>309</v>
      </c>
      <c r="C66" s="289">
        <v>2446.89</v>
      </c>
      <c r="D66" s="288">
        <v>2154.71</v>
      </c>
      <c r="E66" s="289">
        <v>331.83</v>
      </c>
    </row>
    <row r="67" spans="1:5">
      <c r="A67" s="288">
        <v>2021</v>
      </c>
      <c r="B67" s="288" t="s">
        <v>310</v>
      </c>
      <c r="C67" s="289">
        <v>2535.0500000000002</v>
      </c>
      <c r="D67" s="288">
        <v>2561.5500000000002</v>
      </c>
      <c r="E67" s="289">
        <v>301.60000000000002</v>
      </c>
    </row>
    <row r="68" spans="1:5">
      <c r="A68" s="288">
        <v>2021</v>
      </c>
      <c r="B68" s="288" t="s">
        <v>311</v>
      </c>
      <c r="C68" s="289">
        <v>2579.94</v>
      </c>
      <c r="D68" s="288">
        <v>2593.66</v>
      </c>
      <c r="E68" s="289">
        <v>290.31</v>
      </c>
    </row>
    <row r="69" spans="1:5">
      <c r="A69" s="288">
        <v>2021</v>
      </c>
      <c r="B69" s="288" t="s">
        <v>312</v>
      </c>
      <c r="C69" s="289">
        <v>2697.67</v>
      </c>
      <c r="D69" s="288">
        <v>2591.54</v>
      </c>
      <c r="E69" s="289">
        <v>383.58</v>
      </c>
    </row>
    <row r="70" spans="1:5">
      <c r="A70" s="288">
        <v>2021</v>
      </c>
      <c r="B70" s="288" t="s">
        <v>313</v>
      </c>
      <c r="C70" s="288">
        <v>3201.64</v>
      </c>
      <c r="D70" s="288">
        <v>3084</v>
      </c>
      <c r="E70" s="289">
        <v>432.92</v>
      </c>
    </row>
    <row r="71" spans="1:5">
      <c r="A71" s="288">
        <v>2021</v>
      </c>
      <c r="B71" s="288" t="s">
        <v>314</v>
      </c>
      <c r="C71" s="288">
        <v>3739.56</v>
      </c>
      <c r="D71" s="288">
        <v>3135.11</v>
      </c>
      <c r="E71" s="289">
        <v>460.29</v>
      </c>
    </row>
    <row r="72" spans="1:5">
      <c r="A72" s="288">
        <v>2021</v>
      </c>
      <c r="B72" s="288" t="s">
        <v>315</v>
      </c>
      <c r="C72" s="288">
        <v>3762.32</v>
      </c>
      <c r="D72" s="288">
        <v>3228.66</v>
      </c>
      <c r="E72" s="289">
        <v>697.63</v>
      </c>
    </row>
    <row r="73" spans="1:5">
      <c r="A73" s="288">
        <v>2021</v>
      </c>
      <c r="B73" s="288" t="s">
        <v>316</v>
      </c>
      <c r="C73" s="288">
        <v>3820.15</v>
      </c>
      <c r="D73" s="288">
        <v>3786.58</v>
      </c>
      <c r="E73" s="289">
        <v>966.11</v>
      </c>
    </row>
    <row r="74" spans="1:5">
      <c r="A74" s="288">
        <v>2021</v>
      </c>
      <c r="B74" s="288" t="s">
        <v>317</v>
      </c>
      <c r="C74" s="288">
        <v>3450.05</v>
      </c>
      <c r="D74" s="288">
        <v>3544.03</v>
      </c>
      <c r="E74" s="289">
        <v>780.25</v>
      </c>
    </row>
    <row r="75" spans="1:5">
      <c r="A75" s="288" t="s">
        <v>342</v>
      </c>
      <c r="B75" s="288"/>
      <c r="C75" s="288">
        <v>3120.28</v>
      </c>
      <c r="D75" s="288">
        <v>3250</v>
      </c>
      <c r="E75" s="289">
        <v>610</v>
      </c>
    </row>
    <row r="76" spans="1:5">
      <c r="A76" s="288" t="s">
        <v>344</v>
      </c>
      <c r="B76" s="2"/>
      <c r="C76" s="288">
        <v>2840</v>
      </c>
      <c r="D76" s="288">
        <v>2870.71</v>
      </c>
      <c r="E76" s="289">
        <v>660</v>
      </c>
    </row>
    <row r="77" spans="1:5">
      <c r="A77" s="288" t="s">
        <v>345</v>
      </c>
      <c r="B77" s="2"/>
      <c r="C77" s="288">
        <v>2975</v>
      </c>
      <c r="D77" s="288">
        <v>3070</v>
      </c>
      <c r="E77" s="289">
        <v>620</v>
      </c>
    </row>
    <row r="78" spans="1:5">
      <c r="A78" s="288" t="s">
        <v>346</v>
      </c>
      <c r="B78" s="2"/>
      <c r="C78" s="288">
        <v>3340</v>
      </c>
      <c r="D78" s="288">
        <v>3450</v>
      </c>
      <c r="E78" s="289">
        <v>710</v>
      </c>
    </row>
    <row r="79" spans="1:5">
      <c r="A79" s="288" t="s">
        <v>343</v>
      </c>
      <c r="B79" s="2"/>
      <c r="C79" s="288">
        <v>2740</v>
      </c>
      <c r="D79" s="288">
        <v>2750</v>
      </c>
      <c r="E79" s="289">
        <v>670</v>
      </c>
    </row>
  </sheetData>
  <mergeCells count="1">
    <mergeCell ref="C1:E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05AB6C-2B13-441F-9BA6-389D2AEC9436}">
  <dimension ref="A1:F154"/>
  <sheetViews>
    <sheetView showGridLines="0" topLeftCell="A142" workbookViewId="0">
      <selection activeCell="E12" sqref="E12"/>
    </sheetView>
  </sheetViews>
  <sheetFormatPr defaultRowHeight="15"/>
  <cols>
    <col min="1" max="1" width="54" style="205" customWidth="1"/>
    <col min="2" max="2" width="13.5703125" style="205" customWidth="1"/>
    <col min="3" max="3" width="9.140625" style="205"/>
    <col min="4" max="4" width="12" style="205" customWidth="1"/>
    <col min="5" max="5" width="17.5703125" style="88" customWidth="1"/>
    <col min="6" max="16384" width="9.140625" style="205"/>
  </cols>
  <sheetData>
    <row r="1" spans="1:5">
      <c r="A1" s="293" t="s">
        <v>326</v>
      </c>
      <c r="B1" s="293" t="s">
        <v>327</v>
      </c>
      <c r="C1" s="293" t="s">
        <v>304</v>
      </c>
      <c r="D1" s="293" t="s">
        <v>305</v>
      </c>
      <c r="E1" s="293" t="s">
        <v>354</v>
      </c>
    </row>
    <row r="2" spans="1:5">
      <c r="A2" s="291" t="s">
        <v>328</v>
      </c>
      <c r="B2" s="291" t="s">
        <v>329</v>
      </c>
      <c r="C2" s="290">
        <v>2018</v>
      </c>
      <c r="D2" s="290" t="s">
        <v>306</v>
      </c>
      <c r="E2" s="290">
        <v>2825</v>
      </c>
    </row>
    <row r="3" spans="1:5">
      <c r="A3" s="291" t="s">
        <v>330</v>
      </c>
      <c r="B3" s="291" t="s">
        <v>329</v>
      </c>
      <c r="C3" s="290">
        <v>2018</v>
      </c>
      <c r="D3" s="290" t="s">
        <v>306</v>
      </c>
      <c r="E3" s="292">
        <v>2375</v>
      </c>
    </row>
    <row r="4" spans="1:5">
      <c r="A4" s="291" t="s">
        <v>331</v>
      </c>
      <c r="B4" s="291" t="s">
        <v>329</v>
      </c>
      <c r="C4" s="290">
        <v>2018</v>
      </c>
      <c r="D4" s="290" t="s">
        <v>306</v>
      </c>
      <c r="E4" s="292">
        <v>2125</v>
      </c>
    </row>
    <row r="5" spans="1:5">
      <c r="A5" s="291" t="s">
        <v>328</v>
      </c>
      <c r="B5" s="291" t="s">
        <v>329</v>
      </c>
      <c r="C5" s="290">
        <v>2018</v>
      </c>
      <c r="D5" s="290" t="s">
        <v>307</v>
      </c>
      <c r="E5" s="290">
        <v>3025</v>
      </c>
    </row>
    <row r="6" spans="1:5">
      <c r="A6" s="291" t="s">
        <v>330</v>
      </c>
      <c r="B6" s="291" t="s">
        <v>329</v>
      </c>
      <c r="C6" s="290">
        <v>2018</v>
      </c>
      <c r="D6" s="290" t="s">
        <v>307</v>
      </c>
      <c r="E6" s="292">
        <v>2625</v>
      </c>
    </row>
    <row r="7" spans="1:5">
      <c r="A7" s="291" t="s">
        <v>331</v>
      </c>
      <c r="B7" s="291" t="s">
        <v>329</v>
      </c>
      <c r="C7" s="290">
        <v>2018</v>
      </c>
      <c r="D7" s="290" t="s">
        <v>307</v>
      </c>
      <c r="E7" s="292">
        <v>2475</v>
      </c>
    </row>
    <row r="8" spans="1:5">
      <c r="A8" s="291" t="s">
        <v>328</v>
      </c>
      <c r="B8" s="291" t="s">
        <v>329</v>
      </c>
      <c r="C8" s="290">
        <v>2018</v>
      </c>
      <c r="D8" s="290" t="s">
        <v>308</v>
      </c>
      <c r="E8" s="290">
        <v>2975</v>
      </c>
    </row>
    <row r="9" spans="1:5">
      <c r="A9" s="291" t="s">
        <v>330</v>
      </c>
      <c r="B9" s="291" t="s">
        <v>329</v>
      </c>
      <c r="C9" s="290">
        <v>2018</v>
      </c>
      <c r="D9" s="290" t="s">
        <v>308</v>
      </c>
      <c r="E9" s="292">
        <v>2575</v>
      </c>
    </row>
    <row r="10" spans="1:5">
      <c r="A10" s="291" t="s">
        <v>331</v>
      </c>
      <c r="B10" s="291" t="s">
        <v>329</v>
      </c>
      <c r="C10" s="290">
        <v>2018</v>
      </c>
      <c r="D10" s="290" t="s">
        <v>308</v>
      </c>
      <c r="E10" s="292">
        <v>2450</v>
      </c>
    </row>
    <row r="11" spans="1:5">
      <c r="A11" s="291" t="s">
        <v>328</v>
      </c>
      <c r="B11" s="291" t="s">
        <v>329</v>
      </c>
      <c r="C11" s="290">
        <v>2018</v>
      </c>
      <c r="D11" s="290" t="s">
        <v>309</v>
      </c>
      <c r="E11" s="290">
        <v>2925</v>
      </c>
    </row>
    <row r="12" spans="1:5">
      <c r="A12" s="291" t="s">
        <v>330</v>
      </c>
      <c r="B12" s="291" t="s">
        <v>329</v>
      </c>
      <c r="C12" s="290">
        <v>2018</v>
      </c>
      <c r="D12" s="290" t="s">
        <v>309</v>
      </c>
      <c r="E12" s="292">
        <v>2700</v>
      </c>
    </row>
    <row r="13" spans="1:5">
      <c r="A13" s="291" t="s">
        <v>331</v>
      </c>
      <c r="B13" s="291" t="s">
        <v>329</v>
      </c>
      <c r="C13" s="290">
        <v>2018</v>
      </c>
      <c r="D13" s="290" t="s">
        <v>309</v>
      </c>
      <c r="E13" s="292">
        <v>2590</v>
      </c>
    </row>
    <row r="14" spans="1:5">
      <c r="A14" s="291" t="s">
        <v>328</v>
      </c>
      <c r="B14" s="291" t="s">
        <v>329</v>
      </c>
      <c r="C14" s="290">
        <v>2018</v>
      </c>
      <c r="D14" s="290" t="s">
        <v>310</v>
      </c>
      <c r="E14" s="290">
        <v>2880</v>
      </c>
    </row>
    <row r="15" spans="1:5">
      <c r="A15" s="291" t="s">
        <v>330</v>
      </c>
      <c r="B15" s="291" t="s">
        <v>329</v>
      </c>
      <c r="C15" s="290">
        <v>2018</v>
      </c>
      <c r="D15" s="290" t="s">
        <v>310</v>
      </c>
      <c r="E15" s="292">
        <v>2550</v>
      </c>
    </row>
    <row r="16" spans="1:5">
      <c r="A16" s="291" t="s">
        <v>331</v>
      </c>
      <c r="B16" s="291" t="s">
        <v>329</v>
      </c>
      <c r="C16" s="290">
        <v>2018</v>
      </c>
      <c r="D16" s="290" t="s">
        <v>310</v>
      </c>
      <c r="E16" s="292">
        <v>2350</v>
      </c>
    </row>
    <row r="17" spans="1:6">
      <c r="A17" s="291" t="s">
        <v>328</v>
      </c>
      <c r="B17" s="291" t="s">
        <v>329</v>
      </c>
      <c r="C17" s="290">
        <v>2018</v>
      </c>
      <c r="D17" s="290" t="s">
        <v>311</v>
      </c>
      <c r="E17" s="290">
        <v>2760</v>
      </c>
    </row>
    <row r="18" spans="1:6">
      <c r="A18" s="291" t="s">
        <v>330</v>
      </c>
      <c r="B18" s="291" t="s">
        <v>329</v>
      </c>
      <c r="C18" s="290">
        <v>2018</v>
      </c>
      <c r="D18" s="290" t="s">
        <v>311</v>
      </c>
      <c r="E18" s="292">
        <v>2410</v>
      </c>
    </row>
    <row r="19" spans="1:6">
      <c r="A19" s="291" t="s">
        <v>331</v>
      </c>
      <c r="B19" s="291" t="s">
        <v>329</v>
      </c>
      <c r="C19" s="290">
        <v>2018</v>
      </c>
      <c r="D19" s="290" t="s">
        <v>311</v>
      </c>
      <c r="E19" s="292">
        <v>2210</v>
      </c>
    </row>
    <row r="20" spans="1:6">
      <c r="A20" s="291" t="s">
        <v>328</v>
      </c>
      <c r="B20" s="291" t="s">
        <v>329</v>
      </c>
      <c r="C20" s="290">
        <v>2018</v>
      </c>
      <c r="D20" s="290" t="s">
        <v>312</v>
      </c>
      <c r="E20" s="290">
        <v>2730</v>
      </c>
    </row>
    <row r="21" spans="1:6">
      <c r="A21" s="291" t="s">
        <v>330</v>
      </c>
      <c r="B21" s="291" t="s">
        <v>329</v>
      </c>
      <c r="C21" s="290">
        <v>2018</v>
      </c>
      <c r="D21" s="290" t="s">
        <v>312</v>
      </c>
      <c r="E21" s="292">
        <v>2430</v>
      </c>
    </row>
    <row r="22" spans="1:6">
      <c r="A22" s="291" t="s">
        <v>331</v>
      </c>
      <c r="B22" s="291" t="s">
        <v>329</v>
      </c>
      <c r="C22" s="290">
        <v>2018</v>
      </c>
      <c r="D22" s="290" t="s">
        <v>312</v>
      </c>
      <c r="E22" s="292">
        <v>2230</v>
      </c>
    </row>
    <row r="23" spans="1:6">
      <c r="A23" s="291" t="s">
        <v>328</v>
      </c>
      <c r="B23" s="291" t="s">
        <v>329</v>
      </c>
      <c r="C23" s="290">
        <v>2018</v>
      </c>
      <c r="D23" s="290" t="s">
        <v>313</v>
      </c>
      <c r="E23" s="290">
        <v>2700</v>
      </c>
    </row>
    <row r="24" spans="1:6">
      <c r="A24" s="291" t="s">
        <v>330</v>
      </c>
      <c r="B24" s="291" t="s">
        <v>329</v>
      </c>
      <c r="C24" s="290">
        <v>2018</v>
      </c>
      <c r="D24" s="290" t="s">
        <v>313</v>
      </c>
      <c r="E24" s="292">
        <v>2325</v>
      </c>
    </row>
    <row r="25" spans="1:6">
      <c r="A25" s="291" t="s">
        <v>331</v>
      </c>
      <c r="B25" s="291" t="s">
        <v>329</v>
      </c>
      <c r="C25" s="290">
        <v>2018</v>
      </c>
      <c r="D25" s="290" t="s">
        <v>313</v>
      </c>
      <c r="E25" s="292">
        <v>2150</v>
      </c>
    </row>
    <row r="26" spans="1:6">
      <c r="A26" s="291" t="s">
        <v>328</v>
      </c>
      <c r="B26" s="291" t="s">
        <v>329</v>
      </c>
      <c r="C26" s="290">
        <v>2018</v>
      </c>
      <c r="D26" s="290" t="s">
        <v>314</v>
      </c>
      <c r="E26" s="290">
        <v>2700</v>
      </c>
      <c r="F26" s="88"/>
    </row>
    <row r="27" spans="1:6">
      <c r="A27" s="291" t="s">
        <v>330</v>
      </c>
      <c r="B27" s="291" t="s">
        <v>329</v>
      </c>
      <c r="C27" s="290">
        <v>2018</v>
      </c>
      <c r="D27" s="290" t="s">
        <v>314</v>
      </c>
      <c r="E27" s="292">
        <v>2200</v>
      </c>
    </row>
    <row r="28" spans="1:6">
      <c r="A28" s="291" t="s">
        <v>331</v>
      </c>
      <c r="B28" s="291" t="s">
        <v>329</v>
      </c>
      <c r="C28" s="290">
        <v>2018</v>
      </c>
      <c r="D28" s="290" t="s">
        <v>314</v>
      </c>
      <c r="E28" s="292">
        <v>2030</v>
      </c>
    </row>
    <row r="29" spans="1:6">
      <c r="A29" s="291" t="s">
        <v>328</v>
      </c>
      <c r="B29" s="291" t="s">
        <v>329</v>
      </c>
      <c r="C29" s="290">
        <v>2018</v>
      </c>
      <c r="D29" s="290" t="s">
        <v>315</v>
      </c>
      <c r="E29" s="290">
        <v>2680</v>
      </c>
      <c r="F29" s="88"/>
    </row>
    <row r="30" spans="1:6">
      <c r="A30" s="291" t="s">
        <v>330</v>
      </c>
      <c r="B30" s="291" t="s">
        <v>329</v>
      </c>
      <c r="C30" s="290">
        <v>2018</v>
      </c>
      <c r="D30" s="290" t="s">
        <v>315</v>
      </c>
      <c r="E30" s="292">
        <v>2030</v>
      </c>
    </row>
    <row r="31" spans="1:6">
      <c r="A31" s="291" t="s">
        <v>331</v>
      </c>
      <c r="B31" s="291" t="s">
        <v>329</v>
      </c>
      <c r="C31" s="290">
        <v>2018</v>
      </c>
      <c r="D31" s="290" t="s">
        <v>315</v>
      </c>
      <c r="E31" s="292">
        <v>1860</v>
      </c>
    </row>
    <row r="32" spans="1:6">
      <c r="A32" s="291" t="s">
        <v>328</v>
      </c>
      <c r="B32" s="291" t="s">
        <v>329</v>
      </c>
      <c r="C32" s="290">
        <v>2018</v>
      </c>
      <c r="D32" s="290" t="s">
        <v>316</v>
      </c>
      <c r="E32" s="290">
        <v>2655</v>
      </c>
      <c r="F32" s="88"/>
    </row>
    <row r="33" spans="1:6">
      <c r="A33" s="291" t="s">
        <v>330</v>
      </c>
      <c r="B33" s="291" t="s">
        <v>329</v>
      </c>
      <c r="C33" s="290">
        <v>2018</v>
      </c>
      <c r="D33" s="290" t="s">
        <v>316</v>
      </c>
      <c r="E33" s="292">
        <v>1905</v>
      </c>
    </row>
    <row r="34" spans="1:6">
      <c r="A34" s="291" t="s">
        <v>331</v>
      </c>
      <c r="B34" s="291" t="s">
        <v>329</v>
      </c>
      <c r="C34" s="290">
        <v>2018</v>
      </c>
      <c r="D34" s="290" t="s">
        <v>316</v>
      </c>
      <c r="E34" s="292">
        <v>1675</v>
      </c>
    </row>
    <row r="35" spans="1:6">
      <c r="A35" s="291" t="s">
        <v>328</v>
      </c>
      <c r="B35" s="291" t="s">
        <v>329</v>
      </c>
      <c r="C35" s="290">
        <v>2018</v>
      </c>
      <c r="D35" s="290" t="s">
        <v>317</v>
      </c>
      <c r="E35" s="290">
        <v>2615</v>
      </c>
      <c r="F35" s="88"/>
    </row>
    <row r="36" spans="1:6">
      <c r="A36" s="291" t="s">
        <v>330</v>
      </c>
      <c r="B36" s="291" t="s">
        <v>329</v>
      </c>
      <c r="C36" s="290">
        <v>2018</v>
      </c>
      <c r="D36" s="290" t="s">
        <v>317</v>
      </c>
      <c r="E36" s="292">
        <v>2065</v>
      </c>
    </row>
    <row r="37" spans="1:6">
      <c r="A37" s="291" t="s">
        <v>331</v>
      </c>
      <c r="B37" s="291" t="s">
        <v>329</v>
      </c>
      <c r="C37" s="290">
        <v>2018</v>
      </c>
      <c r="D37" s="290" t="s">
        <v>317</v>
      </c>
      <c r="E37" s="292">
        <v>1825</v>
      </c>
    </row>
    <row r="38" spans="1:6">
      <c r="A38" s="291" t="s">
        <v>328</v>
      </c>
      <c r="B38" s="291" t="s">
        <v>329</v>
      </c>
      <c r="C38" s="290">
        <v>2019</v>
      </c>
      <c r="D38" s="290" t="s">
        <v>306</v>
      </c>
      <c r="E38" s="290">
        <v>2550</v>
      </c>
      <c r="F38" s="88"/>
    </row>
    <row r="39" spans="1:6">
      <c r="A39" s="291" t="s">
        <v>330</v>
      </c>
      <c r="B39" s="291" t="s">
        <v>329</v>
      </c>
      <c r="C39" s="290">
        <v>2019</v>
      </c>
      <c r="D39" s="290" t="s">
        <v>306</v>
      </c>
      <c r="E39" s="292">
        <v>2100</v>
      </c>
    </row>
    <row r="40" spans="1:6">
      <c r="A40" s="291" t="s">
        <v>331</v>
      </c>
      <c r="B40" s="291" t="s">
        <v>329</v>
      </c>
      <c r="C40" s="290">
        <v>2019</v>
      </c>
      <c r="D40" s="290" t="s">
        <v>306</v>
      </c>
      <c r="E40" s="292">
        <v>1885</v>
      </c>
    </row>
    <row r="41" spans="1:6">
      <c r="A41" s="291" t="s">
        <v>328</v>
      </c>
      <c r="B41" s="291" t="s">
        <v>329</v>
      </c>
      <c r="C41" s="290">
        <v>2019</v>
      </c>
      <c r="D41" s="290" t="s">
        <v>307</v>
      </c>
      <c r="E41" s="290">
        <v>2300</v>
      </c>
      <c r="F41" s="88"/>
    </row>
    <row r="42" spans="1:6">
      <c r="A42" s="291" t="s">
        <v>330</v>
      </c>
      <c r="B42" s="291" t="s">
        <v>329</v>
      </c>
      <c r="C42" s="290">
        <v>2019</v>
      </c>
      <c r="D42" s="290" t="s">
        <v>307</v>
      </c>
      <c r="E42" s="292">
        <v>1850</v>
      </c>
    </row>
    <row r="43" spans="1:6">
      <c r="A43" s="291" t="s">
        <v>331</v>
      </c>
      <c r="B43" s="291" t="s">
        <v>329</v>
      </c>
      <c r="C43" s="290">
        <v>2019</v>
      </c>
      <c r="D43" s="290" t="s">
        <v>307</v>
      </c>
      <c r="E43" s="292">
        <v>1675</v>
      </c>
    </row>
    <row r="44" spans="1:6">
      <c r="A44" s="291" t="s">
        <v>328</v>
      </c>
      <c r="B44" s="291" t="s">
        <v>329</v>
      </c>
      <c r="C44" s="290">
        <v>2019</v>
      </c>
      <c r="D44" s="290" t="s">
        <v>308</v>
      </c>
      <c r="E44" s="290">
        <v>2585</v>
      </c>
      <c r="F44" s="88"/>
    </row>
    <row r="45" spans="1:6">
      <c r="A45" s="291" t="s">
        <v>330</v>
      </c>
      <c r="B45" s="291" t="s">
        <v>329</v>
      </c>
      <c r="C45" s="290">
        <v>2019</v>
      </c>
      <c r="D45" s="290" t="s">
        <v>308</v>
      </c>
      <c r="E45" s="292">
        <v>2085</v>
      </c>
    </row>
    <row r="46" spans="1:6">
      <c r="A46" s="291" t="s">
        <v>331</v>
      </c>
      <c r="B46" s="291" t="s">
        <v>329</v>
      </c>
      <c r="C46" s="290">
        <v>2019</v>
      </c>
      <c r="D46" s="290" t="s">
        <v>308</v>
      </c>
      <c r="E46" s="292">
        <v>1785</v>
      </c>
    </row>
    <row r="47" spans="1:6">
      <c r="A47" s="291" t="s">
        <v>328</v>
      </c>
      <c r="B47" s="291" t="s">
        <v>329</v>
      </c>
      <c r="C47" s="290">
        <v>2019</v>
      </c>
      <c r="D47" s="290" t="s">
        <v>309</v>
      </c>
      <c r="E47" s="290">
        <v>2500</v>
      </c>
      <c r="F47" s="88"/>
    </row>
    <row r="48" spans="1:6">
      <c r="A48" s="291" t="s">
        <v>330</v>
      </c>
      <c r="B48" s="291" t="s">
        <v>329</v>
      </c>
      <c r="C48" s="290">
        <v>2019</v>
      </c>
      <c r="D48" s="290" t="s">
        <v>309</v>
      </c>
      <c r="E48" s="292">
        <v>2000</v>
      </c>
    </row>
    <row r="49" spans="1:6">
      <c r="A49" s="291" t="s">
        <v>331</v>
      </c>
      <c r="B49" s="291" t="s">
        <v>329</v>
      </c>
      <c r="C49" s="290">
        <v>2019</v>
      </c>
      <c r="D49" s="290" t="s">
        <v>309</v>
      </c>
      <c r="E49" s="292">
        <v>1575</v>
      </c>
    </row>
    <row r="50" spans="1:6">
      <c r="A50" s="291" t="s">
        <v>328</v>
      </c>
      <c r="B50" s="291" t="s">
        <v>329</v>
      </c>
      <c r="C50" s="290">
        <v>2019</v>
      </c>
      <c r="D50" s="290" t="s">
        <v>310</v>
      </c>
      <c r="E50" s="290">
        <v>2375</v>
      </c>
      <c r="F50" s="88"/>
    </row>
    <row r="51" spans="1:6">
      <c r="A51" s="291" t="s">
        <v>330</v>
      </c>
      <c r="B51" s="291" t="s">
        <v>329</v>
      </c>
      <c r="C51" s="290">
        <v>2019</v>
      </c>
      <c r="D51" s="290" t="s">
        <v>310</v>
      </c>
      <c r="E51" s="292">
        <v>2275</v>
      </c>
    </row>
    <row r="52" spans="1:6">
      <c r="A52" s="291" t="s">
        <v>331</v>
      </c>
      <c r="B52" s="291" t="s">
        <v>329</v>
      </c>
      <c r="C52" s="290">
        <v>2019</v>
      </c>
      <c r="D52" s="290" t="s">
        <v>310</v>
      </c>
      <c r="E52" s="292">
        <v>1935</v>
      </c>
    </row>
    <row r="53" spans="1:6">
      <c r="A53" s="291" t="s">
        <v>328</v>
      </c>
      <c r="B53" s="291" t="s">
        <v>329</v>
      </c>
      <c r="C53" s="290">
        <v>2019</v>
      </c>
      <c r="D53" s="290" t="s">
        <v>311</v>
      </c>
      <c r="E53" s="290">
        <v>2300</v>
      </c>
    </row>
    <row r="54" spans="1:6">
      <c r="A54" s="291" t="s">
        <v>330</v>
      </c>
      <c r="B54" s="291" t="s">
        <v>329</v>
      </c>
      <c r="C54" s="290">
        <v>2019</v>
      </c>
      <c r="D54" s="290" t="s">
        <v>311</v>
      </c>
      <c r="E54" s="292">
        <v>2200</v>
      </c>
    </row>
    <row r="55" spans="1:6">
      <c r="A55" s="291" t="s">
        <v>331</v>
      </c>
      <c r="B55" s="291" t="s">
        <v>329</v>
      </c>
      <c r="C55" s="290">
        <v>2019</v>
      </c>
      <c r="D55" s="290" t="s">
        <v>311</v>
      </c>
      <c r="E55" s="292">
        <v>1985</v>
      </c>
    </row>
    <row r="56" spans="1:6">
      <c r="A56" s="291" t="s">
        <v>328</v>
      </c>
      <c r="B56" s="291" t="s">
        <v>329</v>
      </c>
      <c r="C56" s="290">
        <v>2019</v>
      </c>
      <c r="D56" s="290" t="s">
        <v>312</v>
      </c>
      <c r="E56" s="290">
        <v>2375</v>
      </c>
    </row>
    <row r="57" spans="1:6">
      <c r="A57" s="291" t="s">
        <v>330</v>
      </c>
      <c r="B57" s="291" t="s">
        <v>329</v>
      </c>
      <c r="C57" s="290">
        <v>2019</v>
      </c>
      <c r="D57" s="290" t="s">
        <v>312</v>
      </c>
      <c r="E57" s="292">
        <v>2100</v>
      </c>
    </row>
    <row r="58" spans="1:6">
      <c r="A58" s="291" t="s">
        <v>331</v>
      </c>
      <c r="B58" s="291" t="s">
        <v>329</v>
      </c>
      <c r="C58" s="290">
        <v>2019</v>
      </c>
      <c r="D58" s="290" t="s">
        <v>312</v>
      </c>
      <c r="E58" s="292">
        <v>1825</v>
      </c>
    </row>
    <row r="59" spans="1:6">
      <c r="A59" s="291" t="s">
        <v>328</v>
      </c>
      <c r="B59" s="291" t="s">
        <v>329</v>
      </c>
      <c r="C59" s="290">
        <v>2019</v>
      </c>
      <c r="D59" s="290" t="s">
        <v>313</v>
      </c>
      <c r="E59" s="290">
        <v>2400</v>
      </c>
    </row>
    <row r="60" spans="1:6">
      <c r="A60" s="291" t="s">
        <v>330</v>
      </c>
      <c r="B60" s="291" t="s">
        <v>329</v>
      </c>
      <c r="C60" s="290">
        <v>2019</v>
      </c>
      <c r="D60" s="290" t="s">
        <v>313</v>
      </c>
      <c r="E60" s="292">
        <v>1825</v>
      </c>
    </row>
    <row r="61" spans="1:6">
      <c r="A61" s="291" t="s">
        <v>331</v>
      </c>
      <c r="B61" s="291" t="s">
        <v>329</v>
      </c>
      <c r="C61" s="290">
        <v>2019</v>
      </c>
      <c r="D61" s="290" t="s">
        <v>313</v>
      </c>
      <c r="E61" s="292">
        <v>1505</v>
      </c>
    </row>
    <row r="62" spans="1:6">
      <c r="A62" s="291" t="s">
        <v>328</v>
      </c>
      <c r="B62" s="291" t="s">
        <v>329</v>
      </c>
      <c r="C62" s="290">
        <v>2019</v>
      </c>
      <c r="D62" s="290" t="s">
        <v>314</v>
      </c>
      <c r="E62" s="290">
        <v>2350</v>
      </c>
    </row>
    <row r="63" spans="1:6">
      <c r="A63" s="291" t="s">
        <v>330</v>
      </c>
      <c r="B63" s="291" t="s">
        <v>329</v>
      </c>
      <c r="C63" s="290">
        <v>2019</v>
      </c>
      <c r="D63" s="290" t="s">
        <v>314</v>
      </c>
      <c r="E63" s="292">
        <v>1930</v>
      </c>
    </row>
    <row r="64" spans="1:6">
      <c r="A64" s="291" t="s">
        <v>331</v>
      </c>
      <c r="B64" s="291" t="s">
        <v>329</v>
      </c>
      <c r="C64" s="290">
        <v>2019</v>
      </c>
      <c r="D64" s="290" t="s">
        <v>314</v>
      </c>
      <c r="E64" s="292">
        <v>1625</v>
      </c>
    </row>
    <row r="65" spans="1:5">
      <c r="A65" s="291" t="s">
        <v>328</v>
      </c>
      <c r="B65" s="291" t="s">
        <v>329</v>
      </c>
      <c r="C65" s="290">
        <v>2019</v>
      </c>
      <c r="D65" s="290" t="s">
        <v>315</v>
      </c>
      <c r="E65" s="290">
        <v>2300</v>
      </c>
    </row>
    <row r="66" spans="1:5">
      <c r="A66" s="291" t="s">
        <v>330</v>
      </c>
      <c r="B66" s="291" t="s">
        <v>329</v>
      </c>
      <c r="C66" s="290">
        <v>2019</v>
      </c>
      <c r="D66" s="290" t="s">
        <v>315</v>
      </c>
      <c r="E66" s="292">
        <v>1895</v>
      </c>
    </row>
    <row r="67" spans="1:5">
      <c r="A67" s="291" t="s">
        <v>331</v>
      </c>
      <c r="B67" s="291" t="s">
        <v>329</v>
      </c>
      <c r="C67" s="290">
        <v>2019</v>
      </c>
      <c r="D67" s="290" t="s">
        <v>315</v>
      </c>
      <c r="E67" s="292">
        <v>1590</v>
      </c>
    </row>
    <row r="68" spans="1:5">
      <c r="A68" s="291" t="s">
        <v>328</v>
      </c>
      <c r="B68" s="291" t="s">
        <v>329</v>
      </c>
      <c r="C68" s="290">
        <v>2019</v>
      </c>
      <c r="D68" s="290" t="s">
        <v>316</v>
      </c>
      <c r="E68" s="290">
        <v>2340</v>
      </c>
    </row>
    <row r="69" spans="1:5">
      <c r="A69" s="291" t="s">
        <v>330</v>
      </c>
      <c r="B69" s="291" t="s">
        <v>329</v>
      </c>
      <c r="C69" s="290">
        <v>2019</v>
      </c>
      <c r="D69" s="290" t="s">
        <v>316</v>
      </c>
      <c r="E69" s="292">
        <v>1940</v>
      </c>
    </row>
    <row r="70" spans="1:5">
      <c r="A70" s="291" t="s">
        <v>331</v>
      </c>
      <c r="B70" s="291" t="s">
        <v>329</v>
      </c>
      <c r="C70" s="290">
        <v>2019</v>
      </c>
      <c r="D70" s="290" t="s">
        <v>316</v>
      </c>
      <c r="E70" s="292">
        <v>1640</v>
      </c>
    </row>
    <row r="71" spans="1:5">
      <c r="A71" s="291" t="s">
        <v>328</v>
      </c>
      <c r="B71" s="291" t="s">
        <v>329</v>
      </c>
      <c r="C71" s="290">
        <v>2019</v>
      </c>
      <c r="D71" s="290" t="s">
        <v>317</v>
      </c>
      <c r="E71" s="290">
        <v>2280</v>
      </c>
    </row>
    <row r="72" spans="1:5">
      <c r="A72" s="291" t="s">
        <v>330</v>
      </c>
      <c r="B72" s="291" t="s">
        <v>329</v>
      </c>
      <c r="C72" s="290">
        <v>2019</v>
      </c>
      <c r="D72" s="290" t="s">
        <v>317</v>
      </c>
      <c r="E72" s="292">
        <v>1930</v>
      </c>
    </row>
    <row r="73" spans="1:5">
      <c r="A73" s="291" t="s">
        <v>331</v>
      </c>
      <c r="B73" s="291" t="s">
        <v>329</v>
      </c>
      <c r="C73" s="290">
        <v>2019</v>
      </c>
      <c r="D73" s="290" t="s">
        <v>317</v>
      </c>
      <c r="E73" s="292">
        <v>1630</v>
      </c>
    </row>
    <row r="74" spans="1:5">
      <c r="A74" s="291" t="s">
        <v>328</v>
      </c>
      <c r="B74" s="291" t="s">
        <v>329</v>
      </c>
      <c r="C74" s="290">
        <v>2020</v>
      </c>
      <c r="D74" s="290" t="s">
        <v>306</v>
      </c>
      <c r="E74" s="290">
        <v>2200</v>
      </c>
    </row>
    <row r="75" spans="1:5">
      <c r="A75" s="291" t="s">
        <v>330</v>
      </c>
      <c r="B75" s="291" t="s">
        <v>329</v>
      </c>
      <c r="C75" s="290">
        <v>2020</v>
      </c>
      <c r="D75" s="290" t="s">
        <v>306</v>
      </c>
      <c r="E75" s="292">
        <v>1750</v>
      </c>
    </row>
    <row r="76" spans="1:5">
      <c r="A76" s="291" t="s">
        <v>331</v>
      </c>
      <c r="B76" s="291" t="s">
        <v>329</v>
      </c>
      <c r="C76" s="290">
        <v>2020</v>
      </c>
      <c r="D76" s="290" t="s">
        <v>306</v>
      </c>
      <c r="E76" s="292">
        <v>1500</v>
      </c>
    </row>
    <row r="77" spans="1:5">
      <c r="A77" s="291" t="s">
        <v>328</v>
      </c>
      <c r="B77" s="291" t="s">
        <v>329</v>
      </c>
      <c r="C77" s="290">
        <v>2020</v>
      </c>
      <c r="D77" s="290" t="s">
        <v>307</v>
      </c>
      <c r="E77" s="290">
        <v>2100</v>
      </c>
    </row>
    <row r="78" spans="1:5">
      <c r="A78" s="291" t="s">
        <v>330</v>
      </c>
      <c r="B78" s="291" t="s">
        <v>329</v>
      </c>
      <c r="C78" s="290">
        <v>2020</v>
      </c>
      <c r="D78" s="290" t="s">
        <v>307</v>
      </c>
      <c r="E78" s="292">
        <v>1700</v>
      </c>
    </row>
    <row r="79" spans="1:5">
      <c r="A79" s="291" t="s">
        <v>331</v>
      </c>
      <c r="B79" s="291" t="s">
        <v>329</v>
      </c>
      <c r="C79" s="290">
        <v>2020</v>
      </c>
      <c r="D79" s="290" t="s">
        <v>307</v>
      </c>
      <c r="E79" s="292">
        <v>1550</v>
      </c>
    </row>
    <row r="80" spans="1:5">
      <c r="A80" s="291" t="s">
        <v>328</v>
      </c>
      <c r="B80" s="291" t="s">
        <v>329</v>
      </c>
      <c r="C80" s="290">
        <v>2020</v>
      </c>
      <c r="D80" s="290" t="s">
        <v>308</v>
      </c>
      <c r="E80" s="290">
        <v>1850</v>
      </c>
    </row>
    <row r="81" spans="1:5">
      <c r="A81" s="291" t="s">
        <v>330</v>
      </c>
      <c r="B81" s="291" t="s">
        <v>329</v>
      </c>
      <c r="C81" s="290">
        <v>2020</v>
      </c>
      <c r="D81" s="290" t="s">
        <v>308</v>
      </c>
      <c r="E81" s="292">
        <v>1450</v>
      </c>
    </row>
    <row r="82" spans="1:5">
      <c r="A82" s="291" t="s">
        <v>331</v>
      </c>
      <c r="B82" s="291" t="s">
        <v>329</v>
      </c>
      <c r="C82" s="290">
        <v>2020</v>
      </c>
      <c r="D82" s="290" t="s">
        <v>308</v>
      </c>
      <c r="E82" s="292">
        <v>1350</v>
      </c>
    </row>
    <row r="83" spans="1:5">
      <c r="A83" s="291" t="s">
        <v>328</v>
      </c>
      <c r="B83" s="291" t="s">
        <v>329</v>
      </c>
      <c r="C83" s="290">
        <v>2020</v>
      </c>
      <c r="D83" s="290" t="s">
        <v>309</v>
      </c>
      <c r="E83" s="290">
        <v>1650</v>
      </c>
    </row>
    <row r="84" spans="1:5">
      <c r="A84" s="291" t="s">
        <v>330</v>
      </c>
      <c r="B84" s="291" t="s">
        <v>329</v>
      </c>
      <c r="C84" s="290">
        <v>2020</v>
      </c>
      <c r="D84" s="290" t="s">
        <v>309</v>
      </c>
      <c r="E84" s="292">
        <v>1425</v>
      </c>
    </row>
    <row r="85" spans="1:5">
      <c r="A85" s="291" t="s">
        <v>331</v>
      </c>
      <c r="B85" s="291" t="s">
        <v>329</v>
      </c>
      <c r="C85" s="290">
        <v>2020</v>
      </c>
      <c r="D85" s="290" t="s">
        <v>309</v>
      </c>
      <c r="E85" s="292">
        <v>1315</v>
      </c>
    </row>
    <row r="86" spans="1:5">
      <c r="A86" s="291" t="s">
        <v>328</v>
      </c>
      <c r="B86" s="291" t="s">
        <v>329</v>
      </c>
      <c r="C86" s="290">
        <v>2020</v>
      </c>
      <c r="D86" s="290" t="s">
        <v>310</v>
      </c>
      <c r="E86" s="290">
        <v>1880</v>
      </c>
    </row>
    <row r="87" spans="1:5">
      <c r="A87" s="291" t="s">
        <v>330</v>
      </c>
      <c r="B87" s="291" t="s">
        <v>329</v>
      </c>
      <c r="C87" s="290">
        <v>2020</v>
      </c>
      <c r="D87" s="290" t="s">
        <v>310</v>
      </c>
      <c r="E87" s="292">
        <v>1550</v>
      </c>
    </row>
    <row r="88" spans="1:5">
      <c r="A88" s="291" t="s">
        <v>331</v>
      </c>
      <c r="B88" s="291" t="s">
        <v>329</v>
      </c>
      <c r="C88" s="290">
        <v>2020</v>
      </c>
      <c r="D88" s="290" t="s">
        <v>310</v>
      </c>
      <c r="E88" s="292">
        <v>1350</v>
      </c>
    </row>
    <row r="89" spans="1:5">
      <c r="A89" s="291" t="s">
        <v>328</v>
      </c>
      <c r="B89" s="291" t="s">
        <v>329</v>
      </c>
      <c r="C89" s="290">
        <v>2020</v>
      </c>
      <c r="D89" s="290" t="s">
        <v>311</v>
      </c>
      <c r="E89" s="290">
        <v>1950</v>
      </c>
    </row>
    <row r="90" spans="1:5">
      <c r="A90" s="291" t="s">
        <v>330</v>
      </c>
      <c r="B90" s="291" t="s">
        <v>329</v>
      </c>
      <c r="C90" s="290">
        <v>2020</v>
      </c>
      <c r="D90" s="290" t="s">
        <v>311</v>
      </c>
      <c r="E90" s="292">
        <v>1600</v>
      </c>
    </row>
    <row r="91" spans="1:5">
      <c r="A91" s="291" t="s">
        <v>331</v>
      </c>
      <c r="B91" s="291" t="s">
        <v>329</v>
      </c>
      <c r="C91" s="290">
        <v>2020</v>
      </c>
      <c r="D91" s="290" t="s">
        <v>311</v>
      </c>
      <c r="E91" s="292">
        <v>1400</v>
      </c>
    </row>
    <row r="92" spans="1:5">
      <c r="A92" s="291" t="s">
        <v>328</v>
      </c>
      <c r="B92" s="291" t="s">
        <v>329</v>
      </c>
      <c r="C92" s="290">
        <v>2020</v>
      </c>
      <c r="D92" s="290" t="s">
        <v>312</v>
      </c>
      <c r="E92" s="290">
        <v>1850</v>
      </c>
    </row>
    <row r="93" spans="1:5">
      <c r="A93" s="291" t="s">
        <v>330</v>
      </c>
      <c r="B93" s="291" t="s">
        <v>329</v>
      </c>
      <c r="C93" s="290">
        <v>2020</v>
      </c>
      <c r="D93" s="290" t="s">
        <v>312</v>
      </c>
      <c r="E93" s="292">
        <v>1550</v>
      </c>
    </row>
    <row r="94" spans="1:5">
      <c r="A94" s="291" t="s">
        <v>331</v>
      </c>
      <c r="B94" s="291" t="s">
        <v>329</v>
      </c>
      <c r="C94" s="290">
        <v>2020</v>
      </c>
      <c r="D94" s="290" t="s">
        <v>312</v>
      </c>
      <c r="E94" s="292">
        <v>1350</v>
      </c>
    </row>
    <row r="95" spans="1:5">
      <c r="A95" s="291" t="s">
        <v>328</v>
      </c>
      <c r="B95" s="291" t="s">
        <v>329</v>
      </c>
      <c r="C95" s="290">
        <v>2020</v>
      </c>
      <c r="D95" s="290" t="s">
        <v>313</v>
      </c>
      <c r="E95" s="290">
        <v>1950</v>
      </c>
    </row>
    <row r="96" spans="1:5">
      <c r="A96" s="291" t="s">
        <v>330</v>
      </c>
      <c r="B96" s="291" t="s">
        <v>329</v>
      </c>
      <c r="C96" s="290">
        <v>2020</v>
      </c>
      <c r="D96" s="290" t="s">
        <v>313</v>
      </c>
      <c r="E96" s="292">
        <v>1575</v>
      </c>
    </row>
    <row r="97" spans="1:5">
      <c r="A97" s="291" t="s">
        <v>331</v>
      </c>
      <c r="B97" s="291" t="s">
        <v>329</v>
      </c>
      <c r="C97" s="290">
        <v>2020</v>
      </c>
      <c r="D97" s="290" t="s">
        <v>313</v>
      </c>
      <c r="E97" s="292">
        <v>1400</v>
      </c>
    </row>
    <row r="98" spans="1:5">
      <c r="A98" s="291" t="s">
        <v>328</v>
      </c>
      <c r="B98" s="291" t="s">
        <v>329</v>
      </c>
      <c r="C98" s="290">
        <v>2020</v>
      </c>
      <c r="D98" s="290" t="s">
        <v>314</v>
      </c>
      <c r="E98" s="290">
        <v>2150</v>
      </c>
    </row>
    <row r="99" spans="1:5">
      <c r="A99" s="291" t="s">
        <v>330</v>
      </c>
      <c r="B99" s="291" t="s">
        <v>329</v>
      </c>
      <c r="C99" s="290">
        <v>2020</v>
      </c>
      <c r="D99" s="290" t="s">
        <v>314</v>
      </c>
      <c r="E99" s="292">
        <v>1650</v>
      </c>
    </row>
    <row r="100" spans="1:5">
      <c r="A100" s="291" t="s">
        <v>331</v>
      </c>
      <c r="B100" s="291" t="s">
        <v>329</v>
      </c>
      <c r="C100" s="290">
        <v>2020</v>
      </c>
      <c r="D100" s="290" t="s">
        <v>314</v>
      </c>
      <c r="E100" s="292">
        <v>1480</v>
      </c>
    </row>
    <row r="101" spans="1:5">
      <c r="A101" s="291" t="s">
        <v>328</v>
      </c>
      <c r="B101" s="291" t="s">
        <v>329</v>
      </c>
      <c r="C101" s="290">
        <v>2020</v>
      </c>
      <c r="D101" s="290" t="s">
        <v>315</v>
      </c>
      <c r="E101" s="290">
        <v>2350</v>
      </c>
    </row>
    <row r="102" spans="1:5">
      <c r="A102" s="291" t="s">
        <v>330</v>
      </c>
      <c r="B102" s="291" t="s">
        <v>329</v>
      </c>
      <c r="C102" s="290">
        <v>2020</v>
      </c>
      <c r="D102" s="290" t="s">
        <v>315</v>
      </c>
      <c r="E102" s="292">
        <v>1700</v>
      </c>
    </row>
    <row r="103" spans="1:5">
      <c r="A103" s="291" t="s">
        <v>331</v>
      </c>
      <c r="B103" s="291" t="s">
        <v>329</v>
      </c>
      <c r="C103" s="290">
        <v>2020</v>
      </c>
      <c r="D103" s="290" t="s">
        <v>315</v>
      </c>
      <c r="E103" s="292">
        <v>1530</v>
      </c>
    </row>
    <row r="104" spans="1:5">
      <c r="A104" s="291" t="s">
        <v>328</v>
      </c>
      <c r="B104" s="291" t="s">
        <v>329</v>
      </c>
      <c r="C104" s="290">
        <v>2020</v>
      </c>
      <c r="D104" s="290" t="s">
        <v>316</v>
      </c>
      <c r="E104" s="290">
        <v>2800</v>
      </c>
    </row>
    <row r="105" spans="1:5">
      <c r="A105" s="291" t="s">
        <v>330</v>
      </c>
      <c r="B105" s="291" t="s">
        <v>329</v>
      </c>
      <c r="C105" s="290">
        <v>2020</v>
      </c>
      <c r="D105" s="290" t="s">
        <v>316</v>
      </c>
      <c r="E105" s="292">
        <v>2050</v>
      </c>
    </row>
    <row r="106" spans="1:5">
      <c r="A106" s="291" t="s">
        <v>331</v>
      </c>
      <c r="B106" s="291" t="s">
        <v>329</v>
      </c>
      <c r="C106" s="290">
        <v>2020</v>
      </c>
      <c r="D106" s="290" t="s">
        <v>316</v>
      </c>
      <c r="E106" s="292">
        <v>1820</v>
      </c>
    </row>
    <row r="107" spans="1:5">
      <c r="A107" s="291" t="s">
        <v>328</v>
      </c>
      <c r="B107" s="291" t="s">
        <v>329</v>
      </c>
      <c r="C107" s="290">
        <v>2020</v>
      </c>
      <c r="D107" s="290" t="s">
        <v>317</v>
      </c>
      <c r="E107" s="290">
        <v>2600</v>
      </c>
    </row>
    <row r="108" spans="1:5">
      <c r="A108" s="291" t="s">
        <v>330</v>
      </c>
      <c r="B108" s="291" t="s">
        <v>329</v>
      </c>
      <c r="C108" s="290">
        <v>2020</v>
      </c>
      <c r="D108" s="290" t="s">
        <v>317</v>
      </c>
      <c r="E108" s="292">
        <v>2050</v>
      </c>
    </row>
    <row r="109" spans="1:5">
      <c r="A109" s="291" t="s">
        <v>331</v>
      </c>
      <c r="B109" s="291" t="s">
        <v>329</v>
      </c>
      <c r="C109" s="290">
        <v>2020</v>
      </c>
      <c r="D109" s="290" t="s">
        <v>317</v>
      </c>
      <c r="E109" s="292">
        <v>1810</v>
      </c>
    </row>
    <row r="110" spans="1:5">
      <c r="A110" s="291" t="s">
        <v>328</v>
      </c>
      <c r="B110" s="291" t="s">
        <v>329</v>
      </c>
      <c r="C110" s="290">
        <v>2021</v>
      </c>
      <c r="D110" s="290" t="s">
        <v>306</v>
      </c>
      <c r="E110" s="290">
        <v>2350</v>
      </c>
    </row>
    <row r="111" spans="1:5">
      <c r="A111" s="291" t="s">
        <v>330</v>
      </c>
      <c r="B111" s="291" t="s">
        <v>329</v>
      </c>
      <c r="C111" s="290">
        <v>2021</v>
      </c>
      <c r="D111" s="290" t="s">
        <v>306</v>
      </c>
      <c r="E111" s="292">
        <v>1900</v>
      </c>
    </row>
    <row r="112" spans="1:5">
      <c r="A112" s="291" t="s">
        <v>331</v>
      </c>
      <c r="B112" s="291" t="s">
        <v>329</v>
      </c>
      <c r="C112" s="290">
        <v>2021</v>
      </c>
      <c r="D112" s="290" t="s">
        <v>306</v>
      </c>
      <c r="E112" s="292">
        <v>1685</v>
      </c>
    </row>
    <row r="113" spans="1:5">
      <c r="A113" s="291" t="s">
        <v>328</v>
      </c>
      <c r="B113" s="291" t="s">
        <v>329</v>
      </c>
      <c r="C113" s="290">
        <v>2021</v>
      </c>
      <c r="D113" s="290" t="s">
        <v>307</v>
      </c>
      <c r="E113" s="290">
        <v>2850</v>
      </c>
    </row>
    <row r="114" spans="1:5">
      <c r="A114" s="291" t="s">
        <v>330</v>
      </c>
      <c r="B114" s="291" t="s">
        <v>329</v>
      </c>
      <c r="C114" s="290">
        <v>2021</v>
      </c>
      <c r="D114" s="290" t="s">
        <v>307</v>
      </c>
      <c r="E114" s="292">
        <v>2400</v>
      </c>
    </row>
    <row r="115" spans="1:5">
      <c r="A115" s="291" t="s">
        <v>331</v>
      </c>
      <c r="B115" s="291" t="s">
        <v>329</v>
      </c>
      <c r="C115" s="290">
        <v>2021</v>
      </c>
      <c r="D115" s="290" t="s">
        <v>307</v>
      </c>
      <c r="E115" s="292">
        <v>2225</v>
      </c>
    </row>
    <row r="116" spans="1:5">
      <c r="A116" s="291" t="s">
        <v>328</v>
      </c>
      <c r="B116" s="291" t="s">
        <v>329</v>
      </c>
      <c r="C116" s="290">
        <v>2021</v>
      </c>
      <c r="D116" s="290" t="s">
        <v>308</v>
      </c>
      <c r="E116" s="290">
        <v>3350</v>
      </c>
    </row>
    <row r="117" spans="1:5">
      <c r="A117" s="291" t="s">
        <v>330</v>
      </c>
      <c r="B117" s="291" t="s">
        <v>329</v>
      </c>
      <c r="C117" s="290">
        <v>2021</v>
      </c>
      <c r="D117" s="290" t="s">
        <v>308</v>
      </c>
      <c r="E117" s="292">
        <v>2850</v>
      </c>
    </row>
    <row r="118" spans="1:5">
      <c r="A118" s="291" t="s">
        <v>331</v>
      </c>
      <c r="B118" s="291" t="s">
        <v>329</v>
      </c>
      <c r="C118" s="290">
        <v>2021</v>
      </c>
      <c r="D118" s="290" t="s">
        <v>308</v>
      </c>
      <c r="E118" s="292">
        <v>2550</v>
      </c>
    </row>
    <row r="119" spans="1:5">
      <c r="A119" s="291" t="s">
        <v>328</v>
      </c>
      <c r="B119" s="291" t="s">
        <v>329</v>
      </c>
      <c r="C119" s="290">
        <v>2021</v>
      </c>
      <c r="D119" s="290" t="s">
        <v>309</v>
      </c>
      <c r="E119" s="290">
        <v>3750</v>
      </c>
    </row>
    <row r="120" spans="1:5">
      <c r="A120" s="291" t="s">
        <v>330</v>
      </c>
      <c r="B120" s="291" t="s">
        <v>329</v>
      </c>
      <c r="C120" s="290">
        <v>2021</v>
      </c>
      <c r="D120" s="290" t="s">
        <v>309</v>
      </c>
      <c r="E120" s="292">
        <v>3250</v>
      </c>
    </row>
    <row r="121" spans="1:5">
      <c r="A121" s="291" t="s">
        <v>331</v>
      </c>
      <c r="B121" s="291" t="s">
        <v>329</v>
      </c>
      <c r="C121" s="290">
        <v>2021</v>
      </c>
      <c r="D121" s="290" t="s">
        <v>309</v>
      </c>
      <c r="E121" s="292">
        <v>2825</v>
      </c>
    </row>
    <row r="122" spans="1:5">
      <c r="A122" s="291" t="s">
        <v>328</v>
      </c>
      <c r="B122" s="291" t="s">
        <v>329</v>
      </c>
      <c r="C122" s="290">
        <v>2021</v>
      </c>
      <c r="D122" s="290" t="s">
        <v>310</v>
      </c>
      <c r="E122" s="290">
        <v>2900</v>
      </c>
    </row>
    <row r="123" spans="1:5">
      <c r="A123" s="291" t="s">
        <v>330</v>
      </c>
      <c r="B123" s="291" t="s">
        <v>329</v>
      </c>
      <c r="C123" s="290">
        <v>2021</v>
      </c>
      <c r="D123" s="290" t="s">
        <v>310</v>
      </c>
      <c r="E123" s="292">
        <v>2800</v>
      </c>
    </row>
    <row r="124" spans="1:5">
      <c r="A124" s="291" t="s">
        <v>331</v>
      </c>
      <c r="B124" s="291" t="s">
        <v>329</v>
      </c>
      <c r="C124" s="290">
        <v>2021</v>
      </c>
      <c r="D124" s="290" t="s">
        <v>310</v>
      </c>
      <c r="E124" s="292">
        <v>2460</v>
      </c>
    </row>
    <row r="125" spans="1:5">
      <c r="A125" s="291" t="s">
        <v>328</v>
      </c>
      <c r="B125" s="291" t="s">
        <v>329</v>
      </c>
      <c r="C125" s="290">
        <v>2021</v>
      </c>
      <c r="D125" s="290" t="s">
        <v>311</v>
      </c>
      <c r="E125" s="290">
        <v>2700</v>
      </c>
    </row>
    <row r="126" spans="1:5">
      <c r="A126" s="291" t="s">
        <v>330</v>
      </c>
      <c r="B126" s="291" t="s">
        <v>329</v>
      </c>
      <c r="C126" s="290">
        <v>2021</v>
      </c>
      <c r="D126" s="290" t="s">
        <v>311</v>
      </c>
      <c r="E126" s="292">
        <v>2600</v>
      </c>
    </row>
    <row r="127" spans="1:5">
      <c r="A127" s="291" t="s">
        <v>331</v>
      </c>
      <c r="B127" s="291" t="s">
        <v>329</v>
      </c>
      <c r="C127" s="290">
        <v>2021</v>
      </c>
      <c r="D127" s="290" t="s">
        <v>311</v>
      </c>
      <c r="E127" s="292">
        <v>2385</v>
      </c>
    </row>
    <row r="128" spans="1:5">
      <c r="A128" s="291" t="s">
        <v>328</v>
      </c>
      <c r="B128" s="291" t="s">
        <v>329</v>
      </c>
      <c r="C128" s="290">
        <v>2021</v>
      </c>
      <c r="D128" s="290" t="s">
        <v>312</v>
      </c>
      <c r="E128" s="290">
        <v>3100</v>
      </c>
    </row>
    <row r="129" spans="1:5">
      <c r="A129" s="291" t="s">
        <v>330</v>
      </c>
      <c r="B129" s="291" t="s">
        <v>329</v>
      </c>
      <c r="C129" s="290">
        <v>2021</v>
      </c>
      <c r="D129" s="290" t="s">
        <v>312</v>
      </c>
      <c r="E129" s="292">
        <v>2825</v>
      </c>
    </row>
    <row r="130" spans="1:5">
      <c r="A130" s="291" t="s">
        <v>331</v>
      </c>
      <c r="B130" s="291" t="s">
        <v>329</v>
      </c>
      <c r="C130" s="290">
        <v>2021</v>
      </c>
      <c r="D130" s="290" t="s">
        <v>312</v>
      </c>
      <c r="E130" s="292">
        <v>2550</v>
      </c>
    </row>
    <row r="131" spans="1:5">
      <c r="A131" s="291" t="s">
        <v>328</v>
      </c>
      <c r="B131" s="291" t="s">
        <v>329</v>
      </c>
      <c r="C131" s="290">
        <v>2021</v>
      </c>
      <c r="D131" s="290" t="s">
        <v>313</v>
      </c>
      <c r="E131" s="290">
        <v>3575</v>
      </c>
    </row>
    <row r="132" spans="1:5">
      <c r="A132" s="291" t="s">
        <v>330</v>
      </c>
      <c r="B132" s="291" t="s">
        <v>329</v>
      </c>
      <c r="C132" s="290">
        <v>2021</v>
      </c>
      <c r="D132" s="290" t="s">
        <v>313</v>
      </c>
      <c r="E132" s="292">
        <v>3000</v>
      </c>
    </row>
    <row r="133" spans="1:5">
      <c r="A133" s="291" t="s">
        <v>331</v>
      </c>
      <c r="B133" s="291" t="s">
        <v>329</v>
      </c>
      <c r="C133" s="290">
        <v>2021</v>
      </c>
      <c r="D133" s="290" t="s">
        <v>313</v>
      </c>
      <c r="E133" s="292">
        <v>2680</v>
      </c>
    </row>
    <row r="134" spans="1:5">
      <c r="A134" s="291" t="s">
        <v>328</v>
      </c>
      <c r="B134" s="291" t="s">
        <v>329</v>
      </c>
      <c r="C134" s="290">
        <v>2021</v>
      </c>
      <c r="D134" s="290" t="s">
        <v>314</v>
      </c>
      <c r="E134" s="290">
        <v>3670</v>
      </c>
    </row>
    <row r="135" spans="1:5">
      <c r="A135" s="291" t="s">
        <v>330</v>
      </c>
      <c r="B135" s="291" t="s">
        <v>329</v>
      </c>
      <c r="C135" s="290">
        <v>2021</v>
      </c>
      <c r="D135" s="290" t="s">
        <v>314</v>
      </c>
      <c r="E135" s="292">
        <v>3250</v>
      </c>
    </row>
    <row r="136" spans="1:5">
      <c r="A136" s="291" t="s">
        <v>331</v>
      </c>
      <c r="B136" s="291" t="s">
        <v>329</v>
      </c>
      <c r="C136" s="290">
        <v>2021</v>
      </c>
      <c r="D136" s="290" t="s">
        <v>314</v>
      </c>
      <c r="E136" s="292">
        <v>2945</v>
      </c>
    </row>
    <row r="137" spans="1:5">
      <c r="A137" s="291" t="s">
        <v>328</v>
      </c>
      <c r="B137" s="291" t="s">
        <v>329</v>
      </c>
      <c r="C137" s="290">
        <v>2021</v>
      </c>
      <c r="D137" s="290" t="s">
        <v>315</v>
      </c>
      <c r="E137" s="290">
        <v>3780</v>
      </c>
    </row>
    <row r="138" spans="1:5">
      <c r="A138" s="291" t="s">
        <v>330</v>
      </c>
      <c r="B138" s="291" t="s">
        <v>329</v>
      </c>
      <c r="C138" s="290">
        <v>2021</v>
      </c>
      <c r="D138" s="290" t="s">
        <v>315</v>
      </c>
      <c r="E138" s="292">
        <v>3375</v>
      </c>
    </row>
    <row r="139" spans="1:5">
      <c r="A139" s="291" t="s">
        <v>331</v>
      </c>
      <c r="B139" s="291" t="s">
        <v>329</v>
      </c>
      <c r="C139" s="290">
        <v>2021</v>
      </c>
      <c r="D139" s="290" t="s">
        <v>315</v>
      </c>
      <c r="E139" s="292">
        <v>3070</v>
      </c>
    </row>
    <row r="140" spans="1:5">
      <c r="A140" s="291" t="s">
        <v>328</v>
      </c>
      <c r="B140" s="291" t="s">
        <v>329</v>
      </c>
      <c r="C140" s="290">
        <v>2021</v>
      </c>
      <c r="D140" s="290" t="s">
        <v>316</v>
      </c>
      <c r="E140" s="290">
        <v>3850</v>
      </c>
    </row>
    <row r="141" spans="1:5">
      <c r="A141" s="291" t="s">
        <v>330</v>
      </c>
      <c r="B141" s="291" t="s">
        <v>329</v>
      </c>
      <c r="C141" s="290">
        <v>2021</v>
      </c>
      <c r="D141" s="290" t="s">
        <v>316</v>
      </c>
      <c r="E141" s="292">
        <v>3450</v>
      </c>
    </row>
    <row r="142" spans="1:5">
      <c r="A142" s="291" t="s">
        <v>331</v>
      </c>
      <c r="B142" s="291" t="s">
        <v>329</v>
      </c>
      <c r="C142" s="290">
        <v>2021</v>
      </c>
      <c r="D142" s="290" t="s">
        <v>316</v>
      </c>
      <c r="E142" s="292">
        <v>3150</v>
      </c>
    </row>
    <row r="143" spans="1:5">
      <c r="A143" s="291" t="s">
        <v>328</v>
      </c>
      <c r="B143" s="291" t="s">
        <v>329</v>
      </c>
      <c r="C143" s="290">
        <v>2021</v>
      </c>
      <c r="D143" s="290" t="s">
        <v>317</v>
      </c>
      <c r="E143" s="290">
        <v>3600</v>
      </c>
    </row>
    <row r="144" spans="1:5">
      <c r="A144" s="291" t="s">
        <v>330</v>
      </c>
      <c r="B144" s="291" t="s">
        <v>329</v>
      </c>
      <c r="C144" s="290">
        <v>2021</v>
      </c>
      <c r="D144" s="290" t="s">
        <v>317</v>
      </c>
      <c r="E144" s="292">
        <v>3250</v>
      </c>
    </row>
    <row r="145" spans="1:5">
      <c r="A145" s="291" t="s">
        <v>331</v>
      </c>
      <c r="B145" s="291" t="s">
        <v>329</v>
      </c>
      <c r="C145" s="290">
        <v>2021</v>
      </c>
      <c r="D145" s="290" t="s">
        <v>317</v>
      </c>
      <c r="E145" s="292">
        <v>2950</v>
      </c>
    </row>
    <row r="146" spans="1:5">
      <c r="A146" s="291" t="s">
        <v>328</v>
      </c>
      <c r="B146" s="291" t="s">
        <v>329</v>
      </c>
      <c r="C146" s="290">
        <v>2022</v>
      </c>
      <c r="D146" s="290" t="s">
        <v>306</v>
      </c>
      <c r="E146" s="290">
        <v>3750</v>
      </c>
    </row>
    <row r="147" spans="1:5">
      <c r="A147" s="291" t="s">
        <v>330</v>
      </c>
      <c r="B147" s="291" t="s">
        <v>329</v>
      </c>
      <c r="C147" s="290">
        <v>2022</v>
      </c>
      <c r="D147" s="290" t="s">
        <v>306</v>
      </c>
      <c r="E147" s="292">
        <v>3300</v>
      </c>
    </row>
    <row r="148" spans="1:5">
      <c r="A148" s="291" t="s">
        <v>331</v>
      </c>
      <c r="B148" s="291" t="s">
        <v>329</v>
      </c>
      <c r="C148" s="290">
        <v>2022</v>
      </c>
      <c r="D148" s="290" t="s">
        <v>306</v>
      </c>
      <c r="E148" s="292">
        <v>3000</v>
      </c>
    </row>
    <row r="149" spans="1:5">
      <c r="A149" s="291" t="s">
        <v>328</v>
      </c>
      <c r="B149" s="291" t="s">
        <v>329</v>
      </c>
      <c r="C149" s="290">
        <v>2022</v>
      </c>
      <c r="D149" s="290" t="s">
        <v>307</v>
      </c>
      <c r="E149" s="290">
        <v>3700</v>
      </c>
    </row>
    <row r="150" spans="1:5">
      <c r="A150" s="291" t="s">
        <v>330</v>
      </c>
      <c r="B150" s="291" t="s">
        <v>329</v>
      </c>
      <c r="C150" s="290">
        <v>2022</v>
      </c>
      <c r="D150" s="290" t="s">
        <v>307</v>
      </c>
      <c r="E150" s="292">
        <v>3350</v>
      </c>
    </row>
    <row r="151" spans="1:5">
      <c r="A151" s="291" t="s">
        <v>331</v>
      </c>
      <c r="B151" s="291" t="s">
        <v>329</v>
      </c>
      <c r="C151" s="290">
        <v>2022</v>
      </c>
      <c r="D151" s="290" t="s">
        <v>307</v>
      </c>
      <c r="E151" s="292">
        <v>3050</v>
      </c>
    </row>
    <row r="152" spans="1:5">
      <c r="A152" s="291" t="s">
        <v>328</v>
      </c>
      <c r="B152" s="291" t="s">
        <v>329</v>
      </c>
      <c r="C152" s="290">
        <v>2022</v>
      </c>
      <c r="D152" s="290" t="s">
        <v>308</v>
      </c>
      <c r="E152" s="290">
        <v>3350</v>
      </c>
    </row>
    <row r="153" spans="1:5">
      <c r="A153" s="291" t="s">
        <v>330</v>
      </c>
      <c r="B153" s="291" t="s">
        <v>329</v>
      </c>
      <c r="C153" s="290">
        <v>2022</v>
      </c>
      <c r="D153" s="290" t="s">
        <v>308</v>
      </c>
      <c r="E153" s="292">
        <v>3000</v>
      </c>
    </row>
    <row r="154" spans="1:5">
      <c r="A154" s="291" t="s">
        <v>331</v>
      </c>
      <c r="B154" s="291" t="s">
        <v>329</v>
      </c>
      <c r="C154" s="290">
        <v>2022</v>
      </c>
      <c r="D154" s="290" t="s">
        <v>308</v>
      </c>
      <c r="E154" s="292">
        <v>2825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9E4772-C448-4BE6-A294-945ECCFECE4B}">
  <dimension ref="A1:I76"/>
  <sheetViews>
    <sheetView showGridLines="0" workbookViewId="0">
      <selection activeCell="C10" sqref="C10"/>
    </sheetView>
  </sheetViews>
  <sheetFormatPr defaultRowHeight="15"/>
  <cols>
    <col min="1" max="2" width="9.140625" style="205"/>
    <col min="3" max="3" width="20.42578125" style="205" customWidth="1"/>
    <col min="4" max="4" width="17.28515625" style="205" customWidth="1"/>
    <col min="5" max="5" width="22.28515625" style="205" customWidth="1"/>
    <col min="6" max="16384" width="9.140625" style="205"/>
  </cols>
  <sheetData>
    <row r="1" spans="1:6">
      <c r="A1" s="439"/>
      <c r="B1" s="440"/>
      <c r="C1" s="439" t="s">
        <v>321</v>
      </c>
      <c r="D1" s="441"/>
      <c r="E1" s="440"/>
    </row>
    <row r="2" spans="1:6" ht="28.5" customHeight="1">
      <c r="A2" s="316" t="s">
        <v>388</v>
      </c>
      <c r="B2" s="316" t="s">
        <v>305</v>
      </c>
      <c r="C2" s="316" t="s">
        <v>389</v>
      </c>
      <c r="D2" s="316" t="s">
        <v>237</v>
      </c>
      <c r="E2" s="316" t="s">
        <v>390</v>
      </c>
    </row>
    <row r="3" spans="1:6">
      <c r="A3" s="288">
        <v>2016</v>
      </c>
      <c r="B3" s="288" t="s">
        <v>309</v>
      </c>
      <c r="C3" s="317">
        <v>2671</v>
      </c>
      <c r="D3" s="317">
        <v>2470</v>
      </c>
      <c r="E3" s="317">
        <v>2588</v>
      </c>
      <c r="F3" s="217"/>
    </row>
    <row r="4" spans="1:6">
      <c r="A4" s="288">
        <v>2016</v>
      </c>
      <c r="B4" s="288" t="s">
        <v>310</v>
      </c>
      <c r="C4" s="317">
        <v>2765</v>
      </c>
      <c r="D4" s="317">
        <v>2561</v>
      </c>
      <c r="E4" s="317">
        <v>2689</v>
      </c>
      <c r="F4" s="217"/>
    </row>
    <row r="5" spans="1:6">
      <c r="A5" s="288">
        <v>2016</v>
      </c>
      <c r="B5" s="288" t="s">
        <v>311</v>
      </c>
      <c r="C5" s="317">
        <v>2956</v>
      </c>
      <c r="D5" s="317">
        <v>2712</v>
      </c>
      <c r="E5" s="317">
        <v>2892</v>
      </c>
      <c r="F5" s="217"/>
    </row>
    <row r="6" spans="1:6">
      <c r="A6" s="288">
        <v>2016</v>
      </c>
      <c r="B6" s="288" t="s">
        <v>312</v>
      </c>
      <c r="C6" s="317">
        <v>3055</v>
      </c>
      <c r="D6" s="317">
        <v>2834</v>
      </c>
      <c r="E6" s="317">
        <v>2945</v>
      </c>
      <c r="F6" s="217"/>
    </row>
    <row r="7" spans="1:6">
      <c r="A7" s="288">
        <v>2016</v>
      </c>
      <c r="B7" s="288" t="s">
        <v>313</v>
      </c>
      <c r="C7" s="317">
        <v>2956</v>
      </c>
      <c r="D7" s="317">
        <v>2718</v>
      </c>
      <c r="E7" s="317">
        <v>2797</v>
      </c>
      <c r="F7" s="217"/>
    </row>
    <row r="8" spans="1:6">
      <c r="A8" s="288">
        <v>2016</v>
      </c>
      <c r="B8" s="288" t="s">
        <v>314</v>
      </c>
      <c r="C8" s="317">
        <v>3093</v>
      </c>
      <c r="D8" s="317">
        <v>2852</v>
      </c>
      <c r="E8" s="317">
        <v>2939</v>
      </c>
      <c r="F8" s="217"/>
    </row>
    <row r="9" spans="1:6">
      <c r="A9" s="288">
        <v>2016</v>
      </c>
      <c r="B9" s="288" t="s">
        <v>315</v>
      </c>
      <c r="C9" s="317">
        <v>2897</v>
      </c>
      <c r="D9" s="317">
        <v>2667</v>
      </c>
      <c r="E9" s="317">
        <v>2883</v>
      </c>
      <c r="F9" s="217"/>
    </row>
    <row r="10" spans="1:6">
      <c r="A10" s="288">
        <v>2016</v>
      </c>
      <c r="B10" s="288" t="s">
        <v>316</v>
      </c>
      <c r="C10" s="317">
        <v>2740</v>
      </c>
      <c r="D10" s="317">
        <v>2536</v>
      </c>
      <c r="E10" s="317">
        <v>2672</v>
      </c>
      <c r="F10" s="217"/>
    </row>
    <row r="11" spans="1:6">
      <c r="A11" s="288">
        <v>2016</v>
      </c>
      <c r="B11" s="288" t="s">
        <v>317</v>
      </c>
      <c r="C11" s="317">
        <v>2715</v>
      </c>
      <c r="D11" s="317">
        <v>2496</v>
      </c>
      <c r="E11" s="317">
        <v>2595</v>
      </c>
      <c r="F11" s="217"/>
    </row>
    <row r="12" spans="1:6">
      <c r="A12" s="288">
        <v>2017</v>
      </c>
      <c r="B12" s="288" t="s">
        <v>306</v>
      </c>
      <c r="C12" s="317">
        <v>2638</v>
      </c>
      <c r="D12" s="317">
        <v>2416</v>
      </c>
      <c r="E12" s="317">
        <v>2693</v>
      </c>
      <c r="F12" s="217"/>
    </row>
    <row r="13" spans="1:6">
      <c r="A13" s="288">
        <v>2017</v>
      </c>
      <c r="B13" s="288" t="s">
        <v>307</v>
      </c>
      <c r="C13" s="317">
        <v>3275</v>
      </c>
      <c r="D13" s="317">
        <v>3026</v>
      </c>
      <c r="E13" s="317">
        <v>3182</v>
      </c>
      <c r="F13" s="217"/>
    </row>
    <row r="14" spans="1:6">
      <c r="A14" s="288">
        <v>2017</v>
      </c>
      <c r="B14" s="288" t="s">
        <v>308</v>
      </c>
      <c r="C14" s="317">
        <v>3232</v>
      </c>
      <c r="D14" s="317">
        <v>2967</v>
      </c>
      <c r="E14" s="317">
        <v>3158</v>
      </c>
      <c r="F14" s="217"/>
    </row>
    <row r="15" spans="1:6">
      <c r="A15" s="288">
        <v>2017</v>
      </c>
      <c r="B15" s="288" t="s">
        <v>309</v>
      </c>
      <c r="C15" s="317">
        <v>3000</v>
      </c>
      <c r="D15" s="317">
        <v>2798</v>
      </c>
      <c r="E15" s="317">
        <v>2926</v>
      </c>
      <c r="F15" s="217"/>
    </row>
    <row r="16" spans="1:6">
      <c r="A16" s="288">
        <v>2017</v>
      </c>
      <c r="B16" s="288" t="s">
        <v>310</v>
      </c>
      <c r="C16" s="317">
        <v>2993</v>
      </c>
      <c r="D16" s="317">
        <v>2793</v>
      </c>
      <c r="E16" s="317">
        <v>2871</v>
      </c>
      <c r="F16" s="217"/>
    </row>
    <row r="17" spans="1:6">
      <c r="A17" s="288">
        <v>2017</v>
      </c>
      <c r="B17" s="288" t="s">
        <v>311</v>
      </c>
      <c r="C17" s="317">
        <v>2788</v>
      </c>
      <c r="D17" s="317">
        <v>2596</v>
      </c>
      <c r="E17" s="317">
        <v>2671</v>
      </c>
      <c r="F17" s="217"/>
    </row>
    <row r="18" spans="1:6">
      <c r="A18" s="288">
        <v>2017</v>
      </c>
      <c r="B18" s="288" t="s">
        <v>312</v>
      </c>
      <c r="C18" s="317">
        <v>2583</v>
      </c>
      <c r="D18" s="317">
        <v>2395</v>
      </c>
      <c r="E18" s="317">
        <v>2469</v>
      </c>
      <c r="F18" s="217"/>
    </row>
    <row r="19" spans="1:6">
      <c r="A19" s="288">
        <v>2017</v>
      </c>
      <c r="B19" s="288" t="s">
        <v>313</v>
      </c>
      <c r="C19" s="317">
        <v>2473</v>
      </c>
      <c r="D19" s="317">
        <v>2290</v>
      </c>
      <c r="E19" s="317">
        <v>2362</v>
      </c>
      <c r="F19" s="217"/>
    </row>
    <row r="20" spans="1:6">
      <c r="A20" s="288">
        <v>2017</v>
      </c>
      <c r="B20" s="288" t="s">
        <v>314</v>
      </c>
      <c r="C20" s="317">
        <v>2590</v>
      </c>
      <c r="D20" s="317">
        <v>2402</v>
      </c>
      <c r="E20" s="317">
        <v>2476</v>
      </c>
      <c r="F20" s="217"/>
    </row>
    <row r="21" spans="1:6">
      <c r="A21" s="288">
        <v>2017</v>
      </c>
      <c r="B21" s="288" t="s">
        <v>315</v>
      </c>
      <c r="C21" s="317">
        <v>2794</v>
      </c>
      <c r="D21" s="317">
        <v>2573</v>
      </c>
      <c r="E21" s="317">
        <v>2656</v>
      </c>
      <c r="F21" s="217"/>
    </row>
    <row r="22" spans="1:6">
      <c r="A22" s="288">
        <v>2017</v>
      </c>
      <c r="B22" s="288" t="s">
        <v>316</v>
      </c>
      <c r="C22" s="317">
        <v>3030</v>
      </c>
      <c r="D22" s="317">
        <v>2778</v>
      </c>
      <c r="E22" s="317">
        <v>2871</v>
      </c>
      <c r="F22" s="217"/>
    </row>
    <row r="23" spans="1:6">
      <c r="A23" s="288">
        <v>2017</v>
      </c>
      <c r="B23" s="288" t="s">
        <v>317</v>
      </c>
      <c r="C23" s="317">
        <v>3327</v>
      </c>
      <c r="D23" s="317">
        <v>3056</v>
      </c>
      <c r="E23" s="317">
        <v>3258</v>
      </c>
      <c r="F23" s="217"/>
    </row>
    <row r="24" spans="1:6">
      <c r="A24" s="288">
        <v>2018</v>
      </c>
      <c r="B24" s="288" t="s">
        <v>306</v>
      </c>
      <c r="C24" s="317">
        <v>3683</v>
      </c>
      <c r="D24" s="317">
        <v>3388</v>
      </c>
      <c r="E24" s="317">
        <v>3502</v>
      </c>
      <c r="F24" s="217"/>
    </row>
    <row r="25" spans="1:6">
      <c r="A25" s="288">
        <v>2018</v>
      </c>
      <c r="B25" s="288" t="s">
        <v>307</v>
      </c>
      <c r="C25" s="317">
        <v>3890</v>
      </c>
      <c r="D25" s="317">
        <v>3530</v>
      </c>
      <c r="E25" s="317">
        <v>3659</v>
      </c>
      <c r="F25" s="217"/>
    </row>
    <row r="26" spans="1:6">
      <c r="A26" s="288">
        <v>2018</v>
      </c>
      <c r="B26" s="288" t="s">
        <v>308</v>
      </c>
      <c r="C26" s="317">
        <v>4240</v>
      </c>
      <c r="D26" s="317">
        <v>3840</v>
      </c>
      <c r="E26" s="317">
        <v>3982</v>
      </c>
      <c r="F26" s="217"/>
    </row>
    <row r="27" spans="1:6">
      <c r="A27" s="288">
        <v>2018</v>
      </c>
      <c r="B27" s="288" t="s">
        <v>309</v>
      </c>
      <c r="C27" s="317">
        <v>3502</v>
      </c>
      <c r="D27" s="317">
        <v>3259</v>
      </c>
      <c r="E27" s="317">
        <v>3363</v>
      </c>
      <c r="F27" s="217"/>
    </row>
    <row r="28" spans="1:6">
      <c r="A28" s="288">
        <v>2018</v>
      </c>
      <c r="B28" s="288" t="s">
        <v>310</v>
      </c>
      <c r="C28" s="317">
        <v>3487</v>
      </c>
      <c r="D28" s="317">
        <v>3226</v>
      </c>
      <c r="E28" s="317">
        <v>3332</v>
      </c>
      <c r="F28" s="217"/>
    </row>
    <row r="29" spans="1:6">
      <c r="A29" s="288">
        <v>2018</v>
      </c>
      <c r="B29" s="288" t="s">
        <v>311</v>
      </c>
      <c r="C29" s="317">
        <v>3514</v>
      </c>
      <c r="D29" s="317">
        <v>3247</v>
      </c>
      <c r="E29" s="317">
        <v>3354</v>
      </c>
      <c r="F29" s="217"/>
    </row>
    <row r="30" spans="1:6">
      <c r="A30" s="288">
        <v>2018</v>
      </c>
      <c r="B30" s="288" t="s">
        <v>312</v>
      </c>
      <c r="C30" s="317">
        <v>3491</v>
      </c>
      <c r="D30" s="317">
        <v>3233</v>
      </c>
      <c r="E30" s="317">
        <v>3335</v>
      </c>
      <c r="F30" s="217"/>
    </row>
    <row r="31" spans="1:6">
      <c r="A31" s="288">
        <v>2018</v>
      </c>
      <c r="B31" s="288" t="s">
        <v>313</v>
      </c>
      <c r="C31" s="317">
        <v>3487</v>
      </c>
      <c r="D31" s="317">
        <v>3224</v>
      </c>
      <c r="E31" s="317">
        <v>3326</v>
      </c>
      <c r="F31" s="217"/>
    </row>
    <row r="32" spans="1:6">
      <c r="A32" s="288">
        <v>2018</v>
      </c>
      <c r="B32" s="288" t="s">
        <v>314</v>
      </c>
      <c r="C32" s="317">
        <v>3213</v>
      </c>
      <c r="D32" s="317">
        <v>2967</v>
      </c>
      <c r="E32" s="317">
        <v>3061</v>
      </c>
      <c r="F32" s="217"/>
    </row>
    <row r="33" spans="1:6">
      <c r="A33" s="288">
        <v>2018</v>
      </c>
      <c r="B33" s="288" t="s">
        <v>315</v>
      </c>
      <c r="C33" s="317">
        <v>3173</v>
      </c>
      <c r="D33" s="317">
        <v>2935</v>
      </c>
      <c r="E33" s="317">
        <v>3028</v>
      </c>
      <c r="F33" s="217"/>
    </row>
    <row r="34" spans="1:6">
      <c r="A34" s="288">
        <v>2018</v>
      </c>
      <c r="B34" s="288" t="s">
        <v>316</v>
      </c>
      <c r="C34" s="317">
        <v>3093</v>
      </c>
      <c r="D34" s="317">
        <v>2857</v>
      </c>
      <c r="E34" s="317">
        <v>2948</v>
      </c>
      <c r="F34" s="217"/>
    </row>
    <row r="35" spans="1:6">
      <c r="A35" s="288">
        <v>2018</v>
      </c>
      <c r="B35" s="288" t="s">
        <v>317</v>
      </c>
      <c r="C35" s="317">
        <v>2972</v>
      </c>
      <c r="D35" s="317">
        <v>2747</v>
      </c>
      <c r="E35" s="317">
        <v>2834</v>
      </c>
      <c r="F35" s="217"/>
    </row>
    <row r="36" spans="1:6">
      <c r="A36" s="288">
        <v>2019</v>
      </c>
      <c r="B36" s="288" t="s">
        <v>306</v>
      </c>
      <c r="C36" s="317">
        <v>2716</v>
      </c>
      <c r="D36" s="317">
        <v>2510</v>
      </c>
      <c r="E36" s="317">
        <v>2591</v>
      </c>
      <c r="F36" s="217"/>
    </row>
    <row r="37" spans="1:6">
      <c r="A37" s="288">
        <v>2019</v>
      </c>
      <c r="B37" s="288" t="s">
        <v>307</v>
      </c>
      <c r="C37" s="317">
        <v>2768</v>
      </c>
      <c r="D37" s="317">
        <v>2554</v>
      </c>
      <c r="E37" s="317">
        <v>2637</v>
      </c>
      <c r="F37" s="217"/>
    </row>
    <row r="38" spans="1:6">
      <c r="A38" s="288">
        <v>2019</v>
      </c>
      <c r="B38" s="288" t="s">
        <v>308</v>
      </c>
      <c r="C38" s="317">
        <v>2806</v>
      </c>
      <c r="D38" s="317">
        <v>2598</v>
      </c>
      <c r="E38" s="317">
        <v>2680</v>
      </c>
      <c r="F38" s="217"/>
    </row>
    <row r="39" spans="1:6">
      <c r="A39" s="288">
        <v>2019</v>
      </c>
      <c r="B39" s="288" t="s">
        <v>309</v>
      </c>
      <c r="C39" s="317">
        <v>2910</v>
      </c>
      <c r="D39" s="317">
        <v>2674</v>
      </c>
      <c r="E39" s="317">
        <v>2790</v>
      </c>
      <c r="F39" s="217"/>
    </row>
    <row r="40" spans="1:6">
      <c r="A40" s="288">
        <v>2019</v>
      </c>
      <c r="B40" s="288" t="s">
        <v>310</v>
      </c>
      <c r="C40" s="317">
        <v>2870</v>
      </c>
      <c r="D40" s="317">
        <v>2636</v>
      </c>
      <c r="E40" s="317">
        <v>2722</v>
      </c>
      <c r="F40" s="217"/>
    </row>
    <row r="41" spans="1:6">
      <c r="A41" s="288">
        <v>2019</v>
      </c>
      <c r="B41" s="288" t="s">
        <v>311</v>
      </c>
      <c r="C41" s="317">
        <v>2828</v>
      </c>
      <c r="D41" s="317">
        <v>2600</v>
      </c>
      <c r="E41" s="317">
        <v>2684</v>
      </c>
      <c r="F41" s="217"/>
    </row>
    <row r="42" spans="1:6">
      <c r="A42" s="288">
        <v>2019</v>
      </c>
      <c r="B42" s="288" t="s">
        <v>312</v>
      </c>
      <c r="C42" s="317">
        <v>2876</v>
      </c>
      <c r="D42" s="317">
        <v>2644</v>
      </c>
      <c r="E42" s="317">
        <v>2729</v>
      </c>
      <c r="F42" s="217"/>
    </row>
    <row r="43" spans="1:6">
      <c r="A43" s="288">
        <v>2019</v>
      </c>
      <c r="B43" s="288" t="s">
        <v>313</v>
      </c>
      <c r="C43" s="317">
        <v>2789</v>
      </c>
      <c r="D43" s="317">
        <v>2569</v>
      </c>
      <c r="E43" s="317">
        <v>2650</v>
      </c>
      <c r="F43" s="217"/>
    </row>
    <row r="44" spans="1:6">
      <c r="A44" s="288">
        <v>2019</v>
      </c>
      <c r="B44" s="288" t="s">
        <v>314</v>
      </c>
      <c r="C44" s="317">
        <v>2816</v>
      </c>
      <c r="D44" s="317">
        <v>2587</v>
      </c>
      <c r="E44" s="317">
        <v>2670</v>
      </c>
      <c r="F44" s="217"/>
    </row>
    <row r="45" spans="1:6">
      <c r="A45" s="288">
        <v>2019</v>
      </c>
      <c r="B45" s="288" t="s">
        <v>315</v>
      </c>
      <c r="C45" s="317">
        <v>2796</v>
      </c>
      <c r="D45" s="317">
        <v>2577</v>
      </c>
      <c r="E45" s="317">
        <v>2657</v>
      </c>
      <c r="F45" s="217"/>
    </row>
    <row r="46" spans="1:6">
      <c r="A46" s="288">
        <v>2019</v>
      </c>
      <c r="B46" s="288" t="s">
        <v>316</v>
      </c>
      <c r="C46" s="317">
        <v>2769</v>
      </c>
      <c r="D46" s="317">
        <v>2556</v>
      </c>
      <c r="E46" s="317">
        <v>2634</v>
      </c>
      <c r="F46" s="217"/>
    </row>
    <row r="47" spans="1:6">
      <c r="A47" s="288">
        <v>2019</v>
      </c>
      <c r="B47" s="288" t="s">
        <v>317</v>
      </c>
      <c r="C47" s="317">
        <v>2721</v>
      </c>
      <c r="D47" s="317">
        <v>2527</v>
      </c>
      <c r="E47" s="317">
        <v>2601</v>
      </c>
      <c r="F47" s="217"/>
    </row>
    <row r="48" spans="1:6">
      <c r="A48" s="288">
        <v>2020</v>
      </c>
      <c r="B48" s="288" t="s">
        <v>306</v>
      </c>
      <c r="C48" s="317">
        <v>2749</v>
      </c>
      <c r="D48" s="317">
        <v>2548</v>
      </c>
      <c r="E48" s="317">
        <v>2623</v>
      </c>
      <c r="F48" s="217"/>
    </row>
    <row r="49" spans="1:9">
      <c r="A49" s="288">
        <v>2020</v>
      </c>
      <c r="B49" s="288" t="s">
        <v>307</v>
      </c>
      <c r="C49" s="317">
        <v>2780</v>
      </c>
      <c r="D49" s="317">
        <v>2571</v>
      </c>
      <c r="E49" s="317">
        <v>2648</v>
      </c>
      <c r="F49" s="217"/>
    </row>
    <row r="50" spans="1:9">
      <c r="A50" s="288">
        <v>2020</v>
      </c>
      <c r="B50" s="288" t="s">
        <v>308</v>
      </c>
      <c r="C50" s="317">
        <v>2692</v>
      </c>
      <c r="D50" s="317">
        <v>2483</v>
      </c>
      <c r="E50" s="317">
        <v>2559</v>
      </c>
      <c r="F50" s="217"/>
    </row>
    <row r="51" spans="1:9">
      <c r="A51" s="288">
        <v>2020</v>
      </c>
      <c r="B51" s="288" t="s">
        <v>309</v>
      </c>
      <c r="C51" s="317">
        <v>3504</v>
      </c>
      <c r="D51" s="317">
        <v>3034</v>
      </c>
      <c r="E51" s="317">
        <v>3068.7</v>
      </c>
      <c r="F51" s="217"/>
      <c r="H51" s="217"/>
      <c r="I51" s="217"/>
    </row>
    <row r="52" spans="1:9">
      <c r="A52" s="288">
        <v>2020</v>
      </c>
      <c r="B52" s="288" t="s">
        <v>310</v>
      </c>
      <c r="C52" s="317">
        <v>3565</v>
      </c>
      <c r="D52" s="317">
        <v>3083</v>
      </c>
      <c r="E52" s="317">
        <v>3114.2</v>
      </c>
      <c r="F52" s="217"/>
      <c r="H52" s="217"/>
      <c r="I52" s="217"/>
    </row>
    <row r="53" spans="1:9">
      <c r="A53" s="288">
        <v>2020</v>
      </c>
      <c r="B53" s="288" t="s">
        <v>311</v>
      </c>
      <c r="C53" s="317">
        <v>3585</v>
      </c>
      <c r="D53" s="317">
        <v>3110</v>
      </c>
      <c r="E53" s="317">
        <v>3145.7</v>
      </c>
      <c r="F53" s="217"/>
      <c r="H53" s="217"/>
      <c r="I53" s="217"/>
    </row>
    <row r="54" spans="1:9">
      <c r="A54" s="288">
        <v>2020</v>
      </c>
      <c r="B54" s="288" t="s">
        <v>312</v>
      </c>
      <c r="C54" s="317">
        <v>3646</v>
      </c>
      <c r="D54" s="317">
        <v>3163</v>
      </c>
      <c r="E54" s="317">
        <v>3199.3</v>
      </c>
      <c r="F54" s="217"/>
      <c r="H54" s="217"/>
      <c r="I54" s="217"/>
    </row>
    <row r="55" spans="1:9">
      <c r="A55" s="288">
        <v>2020</v>
      </c>
      <c r="B55" s="288" t="s">
        <v>313</v>
      </c>
      <c r="C55" s="317">
        <v>3667</v>
      </c>
      <c r="D55" s="317">
        <v>3189</v>
      </c>
      <c r="E55" s="317">
        <v>3225.7</v>
      </c>
      <c r="F55" s="217"/>
      <c r="H55" s="217"/>
      <c r="I55" s="217"/>
    </row>
    <row r="56" spans="1:9">
      <c r="A56" s="288">
        <v>2020</v>
      </c>
      <c r="B56" s="288" t="s">
        <v>314</v>
      </c>
      <c r="C56" s="317">
        <v>3752</v>
      </c>
      <c r="D56" s="317">
        <v>3264</v>
      </c>
      <c r="E56" s="317">
        <v>3301.6</v>
      </c>
      <c r="F56" s="217"/>
      <c r="H56" s="217"/>
      <c r="I56" s="217"/>
    </row>
    <row r="57" spans="1:9">
      <c r="A57" s="288">
        <v>2020</v>
      </c>
      <c r="B57" s="288" t="s">
        <v>315</v>
      </c>
      <c r="C57" s="317">
        <v>3746</v>
      </c>
      <c r="D57" s="317">
        <v>3254</v>
      </c>
      <c r="E57" s="317">
        <v>3291.3</v>
      </c>
      <c r="F57" s="217"/>
      <c r="H57" s="217"/>
      <c r="I57" s="217"/>
    </row>
    <row r="58" spans="1:9">
      <c r="A58" s="288">
        <v>2020</v>
      </c>
      <c r="B58" s="288" t="s">
        <v>316</v>
      </c>
      <c r="C58" s="317">
        <v>3738</v>
      </c>
      <c r="D58" s="317">
        <v>3239</v>
      </c>
      <c r="E58" s="317">
        <v>3276.2</v>
      </c>
      <c r="F58" s="217"/>
      <c r="H58" s="217"/>
      <c r="I58" s="217"/>
    </row>
    <row r="59" spans="1:9">
      <c r="A59" s="288">
        <v>2020</v>
      </c>
      <c r="B59" s="288" t="s">
        <v>317</v>
      </c>
      <c r="C59" s="317">
        <v>3823</v>
      </c>
      <c r="D59" s="317">
        <v>3312</v>
      </c>
      <c r="E59" s="317">
        <v>3348.1</v>
      </c>
      <c r="F59" s="217"/>
      <c r="H59" s="217"/>
      <c r="I59" s="217"/>
    </row>
    <row r="60" spans="1:9">
      <c r="A60" s="288">
        <v>2021</v>
      </c>
      <c r="B60" s="288" t="s">
        <v>306</v>
      </c>
      <c r="C60" s="317">
        <v>4262</v>
      </c>
      <c r="D60" s="317">
        <v>3703</v>
      </c>
      <c r="E60" s="317">
        <v>3746</v>
      </c>
      <c r="F60" s="217"/>
      <c r="H60" s="217"/>
      <c r="I60" s="217"/>
    </row>
    <row r="61" spans="1:9">
      <c r="A61" s="288">
        <v>2021</v>
      </c>
      <c r="B61" s="288" t="s">
        <v>307</v>
      </c>
      <c r="C61" s="317">
        <v>4896</v>
      </c>
      <c r="D61" s="317">
        <v>4260</v>
      </c>
      <c r="E61" s="317">
        <v>4307.6000000000004</v>
      </c>
      <c r="F61" s="217"/>
      <c r="H61" s="217"/>
      <c r="I61" s="217"/>
    </row>
    <row r="62" spans="1:9">
      <c r="A62" s="288">
        <v>2021</v>
      </c>
      <c r="B62" s="288" t="s">
        <v>308</v>
      </c>
      <c r="C62" s="317">
        <v>5443</v>
      </c>
      <c r="D62" s="317">
        <v>4769</v>
      </c>
      <c r="E62" s="317">
        <v>4825.3999999999996</v>
      </c>
      <c r="F62" s="217"/>
      <c r="H62" s="217"/>
      <c r="I62" s="217"/>
    </row>
    <row r="63" spans="1:9">
      <c r="A63" s="288">
        <v>2021</v>
      </c>
      <c r="B63" s="288" t="s">
        <v>309</v>
      </c>
      <c r="C63" s="317">
        <v>3239.6443800000002</v>
      </c>
      <c r="D63" s="317">
        <v>3117.576581752</v>
      </c>
      <c r="E63" s="317">
        <v>3157.8841776800004</v>
      </c>
      <c r="F63" s="217"/>
    </row>
    <row r="64" spans="1:9">
      <c r="A64" s="288">
        <v>2021</v>
      </c>
      <c r="B64" s="288" t="s">
        <v>310</v>
      </c>
      <c r="C64" s="317">
        <v>3527.7931500000009</v>
      </c>
      <c r="D64" s="317">
        <v>3357.6005540100005</v>
      </c>
      <c r="E64" s="317">
        <v>3409.667210900001</v>
      </c>
      <c r="F64" s="217"/>
    </row>
    <row r="65" spans="1:6">
      <c r="A65" s="288">
        <v>2021</v>
      </c>
      <c r="B65" s="288" t="s">
        <v>311</v>
      </c>
      <c r="C65" s="317">
        <v>3573.7407300000004</v>
      </c>
      <c r="D65" s="317">
        <v>3404.7486890420005</v>
      </c>
      <c r="E65" s="317">
        <v>3476.7439837799998</v>
      </c>
      <c r="F65" s="217"/>
    </row>
    <row r="66" spans="1:6">
      <c r="A66" s="288">
        <v>2021</v>
      </c>
      <c r="B66" s="288" t="s">
        <v>312</v>
      </c>
      <c r="C66" s="317">
        <v>3707.9924700000001</v>
      </c>
      <c r="D66" s="317">
        <v>3538.6422325379999</v>
      </c>
      <c r="E66" s="317">
        <v>3591.27695842</v>
      </c>
      <c r="F66" s="217"/>
    </row>
    <row r="67" spans="1:6">
      <c r="A67" s="288">
        <v>2021</v>
      </c>
      <c r="B67" s="288" t="s">
        <v>313</v>
      </c>
      <c r="C67" s="317">
        <v>4393.8804</v>
      </c>
      <c r="D67" s="317">
        <v>4194.63416736</v>
      </c>
      <c r="E67" s="317">
        <v>4256.6914624000001</v>
      </c>
      <c r="F67" s="217"/>
    </row>
    <row r="68" spans="1:6">
      <c r="A68" s="288">
        <v>2021</v>
      </c>
      <c r="B68" s="288" t="s">
        <v>314</v>
      </c>
      <c r="C68" s="317">
        <v>4833.6735300000009</v>
      </c>
      <c r="D68" s="317">
        <v>4677.0760547620002</v>
      </c>
      <c r="E68" s="317">
        <v>4731.6164985800006</v>
      </c>
      <c r="F68" s="217"/>
    </row>
    <row r="69" spans="1:6">
      <c r="A69" s="288">
        <v>2021</v>
      </c>
      <c r="B69" s="288" t="s">
        <v>315</v>
      </c>
      <c r="C69" s="317">
        <v>5030.0130300000001</v>
      </c>
      <c r="D69" s="317">
        <v>4829.8850338619995</v>
      </c>
      <c r="E69" s="317">
        <v>4894.7933175800008</v>
      </c>
      <c r="F69" s="217"/>
    </row>
    <row r="70" spans="1:6">
      <c r="A70" s="288">
        <v>2021</v>
      </c>
      <c r="B70" s="288" t="s">
        <v>316</v>
      </c>
      <c r="C70" s="317">
        <v>5541.5270399999999</v>
      </c>
      <c r="D70" s="317">
        <v>5227.5692077160002</v>
      </c>
      <c r="E70" s="317">
        <v>5319.5808544399997</v>
      </c>
      <c r="F70" s="217"/>
    </row>
    <row r="71" spans="1:6">
      <c r="A71" s="288">
        <v>2021</v>
      </c>
      <c r="B71" s="288" t="s">
        <v>317</v>
      </c>
      <c r="C71" s="317">
        <v>5029.3076400000009</v>
      </c>
      <c r="D71" s="317">
        <v>4739.4788979559999</v>
      </c>
      <c r="E71" s="317">
        <v>4824.0583760400004</v>
      </c>
      <c r="F71" s="217"/>
    </row>
    <row r="72" spans="1:6">
      <c r="A72" s="288" t="s">
        <v>342</v>
      </c>
      <c r="B72" s="2"/>
      <c r="C72" s="317">
        <v>4524.6557999999995</v>
      </c>
      <c r="D72" s="317">
        <v>4268.6340277199997</v>
      </c>
      <c r="E72" s="317">
        <v>4343.6902948000006</v>
      </c>
      <c r="F72" s="217"/>
    </row>
    <row r="73" spans="1:6">
      <c r="A73" s="288" t="s">
        <v>344</v>
      </c>
      <c r="B73" s="2"/>
      <c r="C73" s="317">
        <v>4200.3894319999999</v>
      </c>
      <c r="D73" s="317">
        <v>3960.5933117039999</v>
      </c>
      <c r="E73" s="317">
        <v>4030.4080933599998</v>
      </c>
      <c r="F73" s="217"/>
    </row>
    <row r="74" spans="1:6">
      <c r="A74" s="288" t="s">
        <v>345</v>
      </c>
      <c r="B74" s="2"/>
      <c r="C74" s="317">
        <v>4399.5190000000011</v>
      </c>
      <c r="D74" s="317">
        <v>4148.461193000001</v>
      </c>
      <c r="E74" s="317">
        <v>4221.5623700000006</v>
      </c>
      <c r="F74" s="217"/>
    </row>
    <row r="75" spans="1:6">
      <c r="A75" s="288" t="s">
        <v>346</v>
      </c>
      <c r="B75" s="2"/>
      <c r="C75" s="317">
        <v>4948.75</v>
      </c>
      <c r="D75" s="317">
        <v>4664.4751500000002</v>
      </c>
      <c r="E75" s="317">
        <v>4747.1134999999995</v>
      </c>
      <c r="F75" s="217"/>
    </row>
    <row r="76" spans="1:6">
      <c r="A76" s="288" t="s">
        <v>343</v>
      </c>
      <c r="B76" s="2"/>
      <c r="C76" s="317">
        <v>4058.51</v>
      </c>
      <c r="D76" s="317">
        <v>3825.61987</v>
      </c>
      <c r="E76" s="317">
        <v>3893.3382999999999</v>
      </c>
      <c r="F76" s="217"/>
    </row>
  </sheetData>
  <mergeCells count="2">
    <mergeCell ref="A1:B1"/>
    <mergeCell ref="C1:E1"/>
  </mergeCells>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04B1DD-2B97-4BD3-A92C-C08B519E78EF}">
  <dimension ref="A1:D17"/>
  <sheetViews>
    <sheetView showGridLines="0" workbookViewId="0">
      <selection activeCell="C10" sqref="C10"/>
    </sheetView>
  </sheetViews>
  <sheetFormatPr defaultRowHeight="15"/>
  <cols>
    <col min="1" max="1" width="6.42578125" style="205" bestFit="1" customWidth="1"/>
    <col min="2" max="2" width="30.85546875" style="205" bestFit="1" customWidth="1"/>
    <col min="3" max="3" width="35" style="205" bestFit="1" customWidth="1"/>
    <col min="4" max="4" width="34.28515625" style="205" bestFit="1" customWidth="1"/>
    <col min="5" max="16384" width="9.140625" style="205"/>
  </cols>
  <sheetData>
    <row r="1" spans="1:4">
      <c r="A1" s="318" t="s">
        <v>360</v>
      </c>
      <c r="B1" s="319" t="s">
        <v>379</v>
      </c>
      <c r="C1" s="320" t="s">
        <v>380</v>
      </c>
      <c r="D1" s="320" t="s">
        <v>381</v>
      </c>
    </row>
    <row r="2" spans="1:4">
      <c r="A2" s="312">
        <v>2015</v>
      </c>
      <c r="B2" s="313">
        <v>3480</v>
      </c>
      <c r="C2" s="155">
        <v>4607</v>
      </c>
      <c r="D2" s="155">
        <v>2809</v>
      </c>
    </row>
    <row r="3" spans="1:4">
      <c r="A3" s="312">
        <v>2016</v>
      </c>
      <c r="B3" s="313">
        <v>3603</v>
      </c>
      <c r="C3" s="155">
        <v>4679</v>
      </c>
      <c r="D3" s="155">
        <v>2995</v>
      </c>
    </row>
    <row r="4" spans="1:4">
      <c r="A4" s="312">
        <v>2017</v>
      </c>
      <c r="B4" s="313">
        <v>4070</v>
      </c>
      <c r="C4" s="155">
        <v>5180</v>
      </c>
      <c r="D4" s="155">
        <v>3398</v>
      </c>
    </row>
    <row r="5" spans="1:4">
      <c r="A5" s="314">
        <v>2018</v>
      </c>
      <c r="B5" s="313">
        <v>5366</v>
      </c>
      <c r="C5" s="155">
        <v>6573</v>
      </c>
      <c r="D5" s="155">
        <v>4855</v>
      </c>
    </row>
    <row r="6" spans="1:4">
      <c r="A6" s="314">
        <v>2019</v>
      </c>
      <c r="B6" s="313">
        <v>5095</v>
      </c>
      <c r="C6" s="155">
        <v>6013</v>
      </c>
      <c r="D6" s="155">
        <v>4418</v>
      </c>
    </row>
    <row r="7" spans="1:4">
      <c r="A7" s="314">
        <v>2020</v>
      </c>
      <c r="B7" s="313">
        <v>4035</v>
      </c>
      <c r="C7" s="155">
        <v>4877</v>
      </c>
      <c r="D7" s="155">
        <v>3429</v>
      </c>
    </row>
    <row r="8" spans="1:4">
      <c r="A8" s="314">
        <v>2021</v>
      </c>
      <c r="B8" s="313">
        <v>5434</v>
      </c>
      <c r="C8" s="155">
        <v>6177</v>
      </c>
      <c r="D8" s="155">
        <v>4775</v>
      </c>
    </row>
    <row r="9" spans="1:4">
      <c r="A9" s="312">
        <v>2022</v>
      </c>
      <c r="B9" s="155">
        <v>5518.2269999999999</v>
      </c>
      <c r="C9" s="155">
        <v>6261.0072</v>
      </c>
      <c r="D9" s="155">
        <v>4845.1925000000001</v>
      </c>
    </row>
    <row r="10" spans="1:4">
      <c r="A10" s="312">
        <v>2023</v>
      </c>
      <c r="B10" s="155">
        <v>5603.7595185</v>
      </c>
      <c r="C10" s="155">
        <v>6346.1568979200001</v>
      </c>
      <c r="D10" s="155">
        <v>4916.41682975</v>
      </c>
    </row>
    <row r="11" spans="1:4">
      <c r="A11" s="312">
        <v>2024</v>
      </c>
      <c r="B11" s="155">
        <v>5690.6177910367496</v>
      </c>
      <c r="C11" s="155">
        <v>6432.464631731712</v>
      </c>
      <c r="D11" s="155">
        <v>4988.688157147325</v>
      </c>
    </row>
    <row r="12" spans="1:4">
      <c r="A12" s="312">
        <v>2025</v>
      </c>
      <c r="B12" s="155">
        <v>5778.8223667978191</v>
      </c>
      <c r="C12" s="155">
        <v>6519.9461507232636</v>
      </c>
      <c r="D12" s="155">
        <v>5062.0218730573906</v>
      </c>
    </row>
    <row r="13" spans="1:4">
      <c r="A13" s="312">
        <v>2026</v>
      </c>
      <c r="B13" s="155">
        <v>5868.3941134831857</v>
      </c>
      <c r="C13" s="155">
        <v>6608.6174183731</v>
      </c>
      <c r="D13" s="155">
        <v>5136.4335945913344</v>
      </c>
    </row>
    <row r="14" spans="1:4">
      <c r="A14" s="312">
        <v>2027</v>
      </c>
      <c r="B14" s="155">
        <v>5959.3542222421747</v>
      </c>
      <c r="C14" s="155">
        <v>6698.4946152629745</v>
      </c>
      <c r="D14" s="155">
        <v>5211.9391684318271</v>
      </c>
    </row>
    <row r="15" spans="1:4">
      <c r="A15" s="312">
        <v>2028</v>
      </c>
      <c r="B15" s="155">
        <v>6051.7242126869287</v>
      </c>
      <c r="C15" s="155">
        <v>6789.5941420305508</v>
      </c>
      <c r="D15" s="155">
        <v>5288.554674207775</v>
      </c>
    </row>
    <row r="16" spans="1:4">
      <c r="A16" s="312">
        <v>2029</v>
      </c>
      <c r="B16" s="155">
        <v>6145.5259379835761</v>
      </c>
      <c r="C16" s="155">
        <v>6881.9326223621665</v>
      </c>
      <c r="D16" s="155">
        <v>5366.296427918629</v>
      </c>
    </row>
    <row r="17" spans="1:4">
      <c r="A17" s="315">
        <v>2030</v>
      </c>
      <c r="B17" s="155">
        <v>6240.7815900223213</v>
      </c>
      <c r="C17" s="155">
        <v>6975.5269060262917</v>
      </c>
      <c r="D17" s="155">
        <v>5445.1809854090325</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3802D-C82B-4E1C-A4B6-68DF66BD8CED}">
  <dimension ref="A1:P67"/>
  <sheetViews>
    <sheetView showGridLines="0" topLeftCell="A67" workbookViewId="0">
      <selection activeCell="M66" sqref="M66"/>
    </sheetView>
  </sheetViews>
  <sheetFormatPr defaultRowHeight="15"/>
  <cols>
    <col min="1" max="1" width="4.140625" bestFit="1" customWidth="1"/>
    <col min="2" max="2" width="28.42578125" customWidth="1"/>
    <col min="3" max="3" width="17.5703125" customWidth="1"/>
    <col min="4" max="4" width="8.42578125" customWidth="1"/>
    <col min="5" max="5" width="16" customWidth="1"/>
    <col min="6" max="6" width="12.85546875" customWidth="1"/>
    <col min="7" max="7" width="16.7109375" customWidth="1"/>
    <col min="8" max="9" width="9.28515625" bestFit="1" customWidth="1"/>
    <col min="10" max="10" width="24.42578125" bestFit="1" customWidth="1"/>
    <col min="11" max="11" width="17" customWidth="1"/>
    <col min="12" max="12" width="9.28515625" bestFit="1" customWidth="1"/>
    <col min="13" max="13" width="8" bestFit="1" customWidth="1"/>
    <col min="14" max="14" width="15.5703125" customWidth="1"/>
    <col min="15" max="15" width="12.7109375" customWidth="1"/>
    <col min="16" max="16" width="10.140625" bestFit="1" customWidth="1"/>
  </cols>
  <sheetData>
    <row r="1" spans="1:16" ht="15.75" thickBot="1">
      <c r="A1" s="340" t="s">
        <v>187</v>
      </c>
      <c r="B1" s="341"/>
      <c r="C1" s="341"/>
      <c r="D1" s="341"/>
      <c r="E1" s="341"/>
      <c r="F1" s="341"/>
      <c r="G1" s="342"/>
      <c r="H1" s="231"/>
      <c r="I1" s="340" t="s">
        <v>188</v>
      </c>
      <c r="J1" s="341"/>
      <c r="K1" s="341"/>
      <c r="L1" s="341"/>
      <c r="M1" s="341"/>
      <c r="N1" s="341"/>
      <c r="O1" s="342"/>
      <c r="P1" s="231"/>
    </row>
    <row r="2" spans="1:16" ht="25.5">
      <c r="A2" s="343" t="s">
        <v>222</v>
      </c>
      <c r="B2" s="343" t="s">
        <v>8</v>
      </c>
      <c r="C2" s="343" t="s">
        <v>172</v>
      </c>
      <c r="D2" s="343" t="s">
        <v>173</v>
      </c>
      <c r="E2" s="232" t="s">
        <v>0</v>
      </c>
      <c r="F2" s="343" t="s">
        <v>128</v>
      </c>
      <c r="G2" s="345" t="s">
        <v>81</v>
      </c>
      <c r="H2" s="231"/>
      <c r="I2" s="347"/>
      <c r="J2" s="343" t="s">
        <v>8</v>
      </c>
      <c r="K2" s="343" t="s">
        <v>172</v>
      </c>
      <c r="L2" s="343" t="s">
        <v>173</v>
      </c>
      <c r="M2" s="232" t="s">
        <v>0</v>
      </c>
      <c r="N2" s="343" t="s">
        <v>128</v>
      </c>
      <c r="O2" s="345" t="s">
        <v>81</v>
      </c>
      <c r="P2" s="231"/>
    </row>
    <row r="3" spans="1:16" ht="26.25" thickBot="1">
      <c r="A3" s="344"/>
      <c r="B3" s="344"/>
      <c r="C3" s="344"/>
      <c r="D3" s="344"/>
      <c r="E3" s="233" t="s">
        <v>189</v>
      </c>
      <c r="F3" s="344"/>
      <c r="G3" s="346"/>
      <c r="H3" s="231"/>
      <c r="I3" s="348"/>
      <c r="J3" s="344"/>
      <c r="K3" s="344"/>
      <c r="L3" s="344"/>
      <c r="M3" s="233" t="s">
        <v>189</v>
      </c>
      <c r="N3" s="344"/>
      <c r="O3" s="346"/>
      <c r="P3" s="231"/>
    </row>
    <row r="4" spans="1:16" ht="39" thickBot="1">
      <c r="A4" s="234">
        <v>1</v>
      </c>
      <c r="B4" s="235" t="s">
        <v>56</v>
      </c>
      <c r="C4" s="235" t="s">
        <v>175</v>
      </c>
      <c r="D4" s="235">
        <v>1</v>
      </c>
      <c r="E4" s="235">
        <v>9.8000000000000004E-2</v>
      </c>
      <c r="F4" s="235" t="s">
        <v>190</v>
      </c>
      <c r="G4" s="235"/>
      <c r="H4" s="231">
        <f>0.091*3</f>
        <v>0.27300000000000002</v>
      </c>
      <c r="I4" s="234">
        <v>1</v>
      </c>
      <c r="J4" s="235" t="s">
        <v>56</v>
      </c>
      <c r="K4" s="235" t="s">
        <v>175</v>
      </c>
      <c r="L4" s="235">
        <v>1</v>
      </c>
      <c r="M4" s="235">
        <v>9.8000000000000004E-2</v>
      </c>
      <c r="N4" s="235" t="s">
        <v>190</v>
      </c>
      <c r="O4" s="235"/>
      <c r="P4" s="231"/>
    </row>
    <row r="5" spans="1:16" ht="26.25" thickBot="1">
      <c r="A5" s="234">
        <v>2</v>
      </c>
      <c r="B5" s="235" t="s">
        <v>57</v>
      </c>
      <c r="C5" s="235" t="s">
        <v>176</v>
      </c>
      <c r="D5" s="235">
        <v>2</v>
      </c>
      <c r="E5" s="235">
        <v>3.3000000000000002E-2</v>
      </c>
      <c r="F5" s="235" t="s">
        <v>190</v>
      </c>
      <c r="G5" s="235" t="s">
        <v>191</v>
      </c>
      <c r="H5" s="231"/>
      <c r="I5" s="234">
        <v>2</v>
      </c>
      <c r="J5" s="235" t="s">
        <v>57</v>
      </c>
      <c r="K5" s="235" t="s">
        <v>176</v>
      </c>
      <c r="L5" s="235">
        <v>2</v>
      </c>
      <c r="M5" s="235">
        <v>3.3000000000000002E-2</v>
      </c>
      <c r="N5" s="235" t="s">
        <v>190</v>
      </c>
      <c r="O5" s="235" t="s">
        <v>191</v>
      </c>
      <c r="P5" s="231"/>
    </row>
    <row r="6" spans="1:16" ht="15.75" thickBot="1">
      <c r="A6" s="234">
        <v>3</v>
      </c>
      <c r="B6" s="235" t="s">
        <v>192</v>
      </c>
      <c r="C6" s="235" t="s">
        <v>174</v>
      </c>
      <c r="D6" s="235">
        <v>1</v>
      </c>
      <c r="E6" s="235">
        <v>3.3000000000000002E-2</v>
      </c>
      <c r="F6" s="235" t="s">
        <v>190</v>
      </c>
      <c r="G6" s="235"/>
      <c r="H6" s="231"/>
      <c r="I6" s="234">
        <v>3</v>
      </c>
      <c r="J6" s="235" t="s">
        <v>193</v>
      </c>
      <c r="K6" s="235" t="s">
        <v>174</v>
      </c>
      <c r="L6" s="235">
        <v>1</v>
      </c>
      <c r="M6" s="235">
        <v>3.3000000000000002E-2</v>
      </c>
      <c r="N6" s="235" t="s">
        <v>190</v>
      </c>
      <c r="O6" s="235"/>
      <c r="P6" s="231"/>
    </row>
    <row r="7" spans="1:16" ht="15.75" thickBot="1">
      <c r="A7" s="234">
        <v>4</v>
      </c>
      <c r="B7" s="235" t="s">
        <v>58</v>
      </c>
      <c r="C7" s="235" t="s">
        <v>174</v>
      </c>
      <c r="D7" s="235">
        <v>1</v>
      </c>
      <c r="E7" s="235">
        <v>0.16400000000000001</v>
      </c>
      <c r="F7" s="235" t="s">
        <v>190</v>
      </c>
      <c r="G7" s="235"/>
      <c r="H7" s="231"/>
      <c r="I7" s="234">
        <v>4</v>
      </c>
      <c r="J7" s="235" t="s">
        <v>58</v>
      </c>
      <c r="K7" s="235" t="s">
        <v>174</v>
      </c>
      <c r="L7" s="235">
        <v>1</v>
      </c>
      <c r="M7" s="235">
        <v>0.16400000000000001</v>
      </c>
      <c r="N7" s="235" t="s">
        <v>190</v>
      </c>
      <c r="O7" s="235"/>
      <c r="P7" s="231"/>
    </row>
    <row r="8" spans="1:16" ht="26.25" thickBot="1">
      <c r="A8" s="234">
        <v>5</v>
      </c>
      <c r="B8" s="235" t="s">
        <v>59</v>
      </c>
      <c r="C8" s="235" t="s">
        <v>177</v>
      </c>
      <c r="D8" s="235">
        <v>2</v>
      </c>
      <c r="E8" s="235">
        <v>3.3000000000000002E-2</v>
      </c>
      <c r="F8" s="235" t="s">
        <v>190</v>
      </c>
      <c r="G8" s="235" t="s">
        <v>191</v>
      </c>
      <c r="H8" s="231"/>
      <c r="I8" s="234">
        <v>5</v>
      </c>
      <c r="J8" s="235" t="s">
        <v>59</v>
      </c>
      <c r="K8" s="235" t="s">
        <v>177</v>
      </c>
      <c r="L8" s="235">
        <v>2</v>
      </c>
      <c r="M8" s="235">
        <v>3.3000000000000002E-2</v>
      </c>
      <c r="N8" s="235" t="s">
        <v>190</v>
      </c>
      <c r="O8" s="235" t="s">
        <v>191</v>
      </c>
      <c r="P8" s="231"/>
    </row>
    <row r="9" spans="1:16" ht="15.75" thickBot="1">
      <c r="A9" s="234">
        <v>6</v>
      </c>
      <c r="B9" s="235" t="s">
        <v>60</v>
      </c>
      <c r="C9" s="235" t="s">
        <v>174</v>
      </c>
      <c r="D9" s="235">
        <v>3</v>
      </c>
      <c r="E9" s="235">
        <v>0.49099999999999999</v>
      </c>
      <c r="F9" s="235" t="s">
        <v>194</v>
      </c>
      <c r="G9" s="235"/>
      <c r="H9" s="231"/>
      <c r="I9" s="234">
        <v>6</v>
      </c>
      <c r="J9" s="235" t="s">
        <v>195</v>
      </c>
      <c r="K9" s="334" t="s">
        <v>196</v>
      </c>
      <c r="L9" s="335"/>
      <c r="M9" s="335"/>
      <c r="N9" s="335"/>
      <c r="O9" s="336"/>
      <c r="P9" s="231"/>
    </row>
    <row r="10" spans="1:16" ht="26.25" thickBot="1">
      <c r="A10" s="234">
        <v>7</v>
      </c>
      <c r="B10" s="235" t="s">
        <v>61</v>
      </c>
      <c r="C10" s="235" t="s">
        <v>177</v>
      </c>
      <c r="D10" s="235">
        <v>2</v>
      </c>
      <c r="E10" s="235">
        <v>3.3000000000000002E-2</v>
      </c>
      <c r="F10" s="235" t="s">
        <v>190</v>
      </c>
      <c r="G10" s="235" t="s">
        <v>197</v>
      </c>
      <c r="H10" s="231"/>
      <c r="I10" s="234">
        <v>7</v>
      </c>
      <c r="J10" s="235" t="s">
        <v>61</v>
      </c>
      <c r="K10" s="337"/>
      <c r="L10" s="338"/>
      <c r="M10" s="338"/>
      <c r="N10" s="338"/>
      <c r="O10" s="339"/>
      <c r="P10" s="231"/>
    </row>
    <row r="11" spans="1:16" ht="64.5" thickBot="1">
      <c r="A11" s="234">
        <v>8</v>
      </c>
      <c r="B11" s="235" t="s">
        <v>62</v>
      </c>
      <c r="C11" s="235" t="s">
        <v>174</v>
      </c>
      <c r="D11" s="237">
        <v>3</v>
      </c>
      <c r="E11" s="235">
        <f>H4+0.691</f>
        <v>0.96399999999999997</v>
      </c>
      <c r="F11" s="235" t="s">
        <v>194</v>
      </c>
      <c r="G11" s="235" t="s">
        <v>178</v>
      </c>
      <c r="H11" s="231"/>
      <c r="I11" s="234">
        <v>8</v>
      </c>
      <c r="J11" s="235" t="s">
        <v>62</v>
      </c>
      <c r="K11" s="235" t="s">
        <v>174</v>
      </c>
      <c r="L11" s="235">
        <v>3</v>
      </c>
      <c r="M11" s="235">
        <f>0.691+H4</f>
        <v>0.96399999999999997</v>
      </c>
      <c r="N11" s="235" t="s">
        <v>194</v>
      </c>
      <c r="O11" s="235" t="s">
        <v>178</v>
      </c>
      <c r="P11" s="231"/>
    </row>
    <row r="12" spans="1:16" ht="26.25" thickBot="1">
      <c r="A12" s="234">
        <v>9</v>
      </c>
      <c r="B12" s="235" t="s">
        <v>63</v>
      </c>
      <c r="C12" s="235" t="s">
        <v>177</v>
      </c>
      <c r="D12" s="235">
        <v>2</v>
      </c>
      <c r="E12" s="235">
        <v>3.3000000000000002E-2</v>
      </c>
      <c r="F12" s="235" t="s">
        <v>190</v>
      </c>
      <c r="G12" s="235" t="s">
        <v>191</v>
      </c>
      <c r="H12" s="231"/>
      <c r="I12" s="234">
        <v>9</v>
      </c>
      <c r="J12" s="235" t="s">
        <v>63</v>
      </c>
      <c r="K12" s="235" t="s">
        <v>177</v>
      </c>
      <c r="L12" s="235">
        <v>2</v>
      </c>
      <c r="M12" s="235">
        <v>3.3000000000000002E-2</v>
      </c>
      <c r="N12" s="235" t="s">
        <v>190</v>
      </c>
      <c r="O12" s="235" t="s">
        <v>191</v>
      </c>
      <c r="P12" s="231"/>
    </row>
    <row r="13" spans="1:16" ht="15.75" thickBot="1">
      <c r="A13" s="234">
        <v>10</v>
      </c>
      <c r="B13" s="235" t="s">
        <v>64</v>
      </c>
      <c r="C13" s="235" t="s">
        <v>174</v>
      </c>
      <c r="D13" s="235">
        <v>1</v>
      </c>
      <c r="E13" s="235">
        <v>0.13100000000000001</v>
      </c>
      <c r="F13" s="235" t="s">
        <v>190</v>
      </c>
      <c r="G13" s="235"/>
      <c r="H13" s="231"/>
      <c r="I13" s="234">
        <v>10</v>
      </c>
      <c r="J13" s="235" t="s">
        <v>64</v>
      </c>
      <c r="K13" s="235" t="s">
        <v>174</v>
      </c>
      <c r="L13" s="235">
        <v>1</v>
      </c>
      <c r="M13" s="235">
        <v>0.13100000000000001</v>
      </c>
      <c r="N13" s="235" t="s">
        <v>190</v>
      </c>
      <c r="O13" s="235"/>
      <c r="P13" s="231"/>
    </row>
    <row r="14" spans="1:16" ht="26.25" thickBot="1">
      <c r="A14" s="234">
        <v>11</v>
      </c>
      <c r="B14" s="235" t="s">
        <v>65</v>
      </c>
      <c r="C14" s="235" t="s">
        <v>174</v>
      </c>
      <c r="D14" s="235">
        <v>1</v>
      </c>
      <c r="E14" s="235">
        <v>0.16400000000000001</v>
      </c>
      <c r="F14" s="235" t="s">
        <v>190</v>
      </c>
      <c r="G14" s="235"/>
      <c r="H14" s="231"/>
      <c r="I14" s="234">
        <v>11</v>
      </c>
      <c r="J14" s="235" t="s">
        <v>65</v>
      </c>
      <c r="K14" s="235" t="s">
        <v>174</v>
      </c>
      <c r="L14" s="235">
        <v>1</v>
      </c>
      <c r="M14" s="235">
        <v>0.16400000000000001</v>
      </c>
      <c r="N14" s="235" t="s">
        <v>190</v>
      </c>
      <c r="O14" s="235"/>
      <c r="P14" s="231"/>
    </row>
    <row r="15" spans="1:16" ht="26.25" thickBot="1">
      <c r="A15" s="234">
        <v>12</v>
      </c>
      <c r="B15" s="235" t="s">
        <v>66</v>
      </c>
      <c r="C15" s="235" t="s">
        <v>177</v>
      </c>
      <c r="D15" s="235">
        <v>2</v>
      </c>
      <c r="E15" s="235">
        <v>1.6E-2</v>
      </c>
      <c r="F15" s="235" t="s">
        <v>190</v>
      </c>
      <c r="G15" s="235" t="s">
        <v>191</v>
      </c>
      <c r="H15" s="231"/>
      <c r="I15" s="234">
        <v>12</v>
      </c>
      <c r="J15" s="235" t="s">
        <v>66</v>
      </c>
      <c r="K15" s="235" t="s">
        <v>177</v>
      </c>
      <c r="L15" s="235">
        <v>2</v>
      </c>
      <c r="M15" s="235">
        <v>1.6E-2</v>
      </c>
      <c r="N15" s="235" t="s">
        <v>190</v>
      </c>
      <c r="O15" s="235" t="s">
        <v>191</v>
      </c>
      <c r="P15" s="231"/>
    </row>
    <row r="16" spans="1:16" ht="15.75" thickBot="1">
      <c r="A16" s="234">
        <v>13</v>
      </c>
      <c r="B16" s="235" t="s">
        <v>67</v>
      </c>
      <c r="C16" s="235" t="s">
        <v>174</v>
      </c>
      <c r="D16" s="235">
        <v>1</v>
      </c>
      <c r="E16" s="235">
        <v>9.8000000000000004E-2</v>
      </c>
      <c r="F16" s="235" t="s">
        <v>190</v>
      </c>
      <c r="G16" s="235"/>
      <c r="H16" s="231"/>
      <c r="I16" s="234">
        <v>13</v>
      </c>
      <c r="J16" s="235" t="s">
        <v>67</v>
      </c>
      <c r="K16" s="235" t="s">
        <v>174</v>
      </c>
      <c r="L16" s="235">
        <v>1</v>
      </c>
      <c r="M16" s="235">
        <v>9.8000000000000004E-2</v>
      </c>
      <c r="N16" s="235" t="s">
        <v>190</v>
      </c>
      <c r="O16" s="235"/>
      <c r="P16" s="231"/>
    </row>
    <row r="17" spans="1:16" ht="15.75" thickBot="1">
      <c r="A17" s="234">
        <v>14</v>
      </c>
      <c r="B17" s="235" t="s">
        <v>68</v>
      </c>
      <c r="C17" s="235" t="s">
        <v>174</v>
      </c>
      <c r="D17" s="235">
        <v>1</v>
      </c>
      <c r="E17" s="235">
        <v>0.16400000000000001</v>
      </c>
      <c r="F17" s="235" t="s">
        <v>190</v>
      </c>
      <c r="G17" s="235"/>
      <c r="H17" s="231"/>
      <c r="I17" s="234">
        <v>14</v>
      </c>
      <c r="J17" s="235" t="s">
        <v>68</v>
      </c>
      <c r="K17" s="235" t="s">
        <v>174</v>
      </c>
      <c r="L17" s="235">
        <v>1</v>
      </c>
      <c r="M17" s="235">
        <v>0.16400000000000001</v>
      </c>
      <c r="N17" s="235" t="s">
        <v>190</v>
      </c>
      <c r="O17" s="235"/>
      <c r="P17" s="231"/>
    </row>
    <row r="18" spans="1:16" ht="26.25" thickBot="1">
      <c r="A18" s="234">
        <v>15</v>
      </c>
      <c r="B18" s="235" t="s">
        <v>69</v>
      </c>
      <c r="C18" s="235" t="s">
        <v>177</v>
      </c>
      <c r="D18" s="235">
        <v>2</v>
      </c>
      <c r="E18" s="235">
        <v>1.6E-2</v>
      </c>
      <c r="F18" s="235" t="s">
        <v>190</v>
      </c>
      <c r="G18" s="235" t="s">
        <v>191</v>
      </c>
      <c r="H18" s="231"/>
      <c r="I18" s="234">
        <v>15</v>
      </c>
      <c r="J18" s="235" t="s">
        <v>69</v>
      </c>
      <c r="K18" s="235" t="s">
        <v>177</v>
      </c>
      <c r="L18" s="235">
        <v>2</v>
      </c>
      <c r="M18" s="235">
        <v>1.6E-2</v>
      </c>
      <c r="N18" s="235" t="s">
        <v>190</v>
      </c>
      <c r="O18" s="235" t="s">
        <v>191</v>
      </c>
      <c r="P18" s="231"/>
    </row>
    <row r="19" spans="1:16" ht="26.25" thickBot="1">
      <c r="A19" s="234">
        <v>16</v>
      </c>
      <c r="B19" s="235" t="s">
        <v>70</v>
      </c>
      <c r="C19" s="235" t="s">
        <v>174</v>
      </c>
      <c r="D19" s="235">
        <v>1</v>
      </c>
      <c r="E19" s="235">
        <v>0.13100000000000001</v>
      </c>
      <c r="F19" s="235" t="s">
        <v>190</v>
      </c>
      <c r="G19" s="235"/>
      <c r="H19" s="231"/>
      <c r="I19" s="234">
        <v>16</v>
      </c>
      <c r="J19" s="235" t="s">
        <v>70</v>
      </c>
      <c r="K19" s="235" t="s">
        <v>174</v>
      </c>
      <c r="L19" s="235">
        <v>1</v>
      </c>
      <c r="M19" s="235">
        <v>0.13100000000000001</v>
      </c>
      <c r="N19" s="235" t="s">
        <v>190</v>
      </c>
      <c r="O19" s="235"/>
      <c r="P19" s="231"/>
    </row>
    <row r="20" spans="1:16" ht="26.25" thickBot="1">
      <c r="A20" s="234">
        <v>17</v>
      </c>
      <c r="B20" s="235" t="s">
        <v>71</v>
      </c>
      <c r="C20" s="235" t="s">
        <v>177</v>
      </c>
      <c r="D20" s="235">
        <v>2</v>
      </c>
      <c r="E20" s="235">
        <v>3.3000000000000002E-2</v>
      </c>
      <c r="F20" s="235" t="s">
        <v>190</v>
      </c>
      <c r="G20" s="235" t="s">
        <v>191</v>
      </c>
      <c r="H20" s="231"/>
      <c r="I20" s="234">
        <v>17</v>
      </c>
      <c r="J20" s="235" t="s">
        <v>71</v>
      </c>
      <c r="K20" s="235" t="s">
        <v>177</v>
      </c>
      <c r="L20" s="235">
        <v>2</v>
      </c>
      <c r="M20" s="235">
        <v>3.3000000000000002E-2</v>
      </c>
      <c r="N20" s="235" t="s">
        <v>190</v>
      </c>
      <c r="O20" s="235" t="s">
        <v>191</v>
      </c>
      <c r="P20" s="231"/>
    </row>
    <row r="21" spans="1:16" ht="15.75" thickBot="1">
      <c r="A21" s="234">
        <v>18</v>
      </c>
      <c r="B21" s="235" t="s">
        <v>198</v>
      </c>
      <c r="C21" s="235" t="s">
        <v>174</v>
      </c>
      <c r="D21" s="235">
        <v>2</v>
      </c>
      <c r="E21" s="235">
        <v>6.4000000000000001E-2</v>
      </c>
      <c r="F21" s="235" t="s">
        <v>190</v>
      </c>
      <c r="G21" s="235"/>
      <c r="H21" s="231"/>
      <c r="I21" s="234">
        <v>18</v>
      </c>
      <c r="J21" s="235" t="s">
        <v>198</v>
      </c>
      <c r="K21" s="235" t="s">
        <v>174</v>
      </c>
      <c r="L21" s="235">
        <v>2</v>
      </c>
      <c r="M21" s="235">
        <v>6.4000000000000001E-2</v>
      </c>
      <c r="N21" s="235" t="s">
        <v>190</v>
      </c>
      <c r="O21" s="235"/>
      <c r="P21" s="231"/>
    </row>
    <row r="22" spans="1:16" ht="15.75" thickBot="1">
      <c r="A22" s="234">
        <v>19</v>
      </c>
      <c r="B22" s="235" t="s">
        <v>72</v>
      </c>
      <c r="C22" s="235" t="s">
        <v>174</v>
      </c>
      <c r="D22" s="235">
        <v>2</v>
      </c>
      <c r="E22" s="235">
        <v>0.19600000000000001</v>
      </c>
      <c r="F22" s="235" t="s">
        <v>190</v>
      </c>
      <c r="G22" s="235"/>
      <c r="H22" s="231"/>
      <c r="I22" s="234">
        <v>19</v>
      </c>
      <c r="J22" s="235" t="s">
        <v>72</v>
      </c>
      <c r="K22" s="235" t="s">
        <v>174</v>
      </c>
      <c r="L22" s="235">
        <v>2</v>
      </c>
      <c r="M22" s="235">
        <v>0.19600000000000001</v>
      </c>
      <c r="N22" s="235" t="s">
        <v>190</v>
      </c>
      <c r="O22" s="235"/>
      <c r="P22" s="231"/>
    </row>
    <row r="23" spans="1:16" ht="26.25" thickBot="1">
      <c r="A23" s="234">
        <v>20</v>
      </c>
      <c r="B23" s="235" t="s">
        <v>84</v>
      </c>
      <c r="C23" s="235" t="s">
        <v>177</v>
      </c>
      <c r="D23" s="235">
        <v>2</v>
      </c>
      <c r="E23" s="235">
        <v>3.3000000000000002E-2</v>
      </c>
      <c r="F23" s="235"/>
      <c r="G23" s="235" t="s">
        <v>191</v>
      </c>
      <c r="H23" s="231"/>
      <c r="I23" s="234">
        <v>20</v>
      </c>
      <c r="J23" s="235" t="s">
        <v>84</v>
      </c>
      <c r="K23" s="235" t="s">
        <v>177</v>
      </c>
      <c r="L23" s="235">
        <v>2</v>
      </c>
      <c r="M23" s="235">
        <v>3.3000000000000002E-2</v>
      </c>
      <c r="N23" s="235"/>
      <c r="O23" s="235" t="s">
        <v>191</v>
      </c>
      <c r="P23" s="231"/>
    </row>
    <row r="24" spans="1:16" ht="15.75" thickBot="1">
      <c r="A24" s="234">
        <v>21</v>
      </c>
      <c r="B24" s="235" t="s">
        <v>73</v>
      </c>
      <c r="C24" s="235" t="s">
        <v>174</v>
      </c>
      <c r="D24" s="235">
        <v>1</v>
      </c>
      <c r="E24" s="235">
        <v>0.14599999999999999</v>
      </c>
      <c r="F24" s="235" t="s">
        <v>190</v>
      </c>
      <c r="G24" s="235"/>
      <c r="H24" s="231"/>
      <c r="I24" s="234">
        <v>21</v>
      </c>
      <c r="J24" s="235" t="s">
        <v>73</v>
      </c>
      <c r="K24" s="235" t="s">
        <v>174</v>
      </c>
      <c r="L24" s="235">
        <v>1</v>
      </c>
      <c r="M24" s="235">
        <v>0.14599999999999999</v>
      </c>
      <c r="N24" s="235" t="s">
        <v>190</v>
      </c>
      <c r="O24" s="235"/>
      <c r="P24" s="231"/>
    </row>
    <row r="25" spans="1:16" ht="15.75" thickBot="1">
      <c r="A25" s="234">
        <v>22</v>
      </c>
      <c r="B25" s="235" t="s">
        <v>74</v>
      </c>
      <c r="C25" s="235" t="s">
        <v>177</v>
      </c>
      <c r="D25" s="235">
        <v>1</v>
      </c>
      <c r="E25" s="235">
        <v>0.16400000000000001</v>
      </c>
      <c r="F25" s="235" t="s">
        <v>190</v>
      </c>
      <c r="G25" s="235"/>
      <c r="H25" s="231"/>
      <c r="I25" s="234">
        <v>22</v>
      </c>
      <c r="J25" s="235" t="s">
        <v>74</v>
      </c>
      <c r="K25" s="235" t="s">
        <v>177</v>
      </c>
      <c r="L25" s="235">
        <v>1</v>
      </c>
      <c r="M25" s="235">
        <v>0.16400000000000001</v>
      </c>
      <c r="N25" s="235" t="s">
        <v>190</v>
      </c>
      <c r="O25" s="235"/>
      <c r="P25" s="231"/>
    </row>
    <row r="26" spans="1:16" ht="39" thickBot="1">
      <c r="A26" s="234">
        <v>23</v>
      </c>
      <c r="B26" s="235" t="s">
        <v>75</v>
      </c>
      <c r="C26" s="235" t="s">
        <v>174</v>
      </c>
      <c r="D26" s="235">
        <v>1</v>
      </c>
      <c r="E26" s="235">
        <v>4.9000000000000002E-2</v>
      </c>
      <c r="F26" s="235" t="s">
        <v>190</v>
      </c>
      <c r="G26" s="235"/>
      <c r="H26" s="231"/>
      <c r="I26" s="234">
        <v>23</v>
      </c>
      <c r="J26" s="235" t="s">
        <v>75</v>
      </c>
      <c r="K26" s="235" t="s">
        <v>174</v>
      </c>
      <c r="L26" s="235">
        <v>1</v>
      </c>
      <c r="M26" s="235">
        <v>4.9000000000000002E-2</v>
      </c>
      <c r="N26" s="235" t="s">
        <v>190</v>
      </c>
      <c r="O26" s="235"/>
      <c r="P26" s="231"/>
    </row>
    <row r="27" spans="1:16" ht="15.75" thickBot="1">
      <c r="A27" s="234">
        <v>24</v>
      </c>
      <c r="B27" s="235" t="s">
        <v>76</v>
      </c>
      <c r="C27" s="235" t="s">
        <v>199</v>
      </c>
      <c r="D27" s="235">
        <v>1</v>
      </c>
      <c r="E27" s="235">
        <v>9.8000000000000004E-2</v>
      </c>
      <c r="F27" s="235" t="s">
        <v>190</v>
      </c>
      <c r="G27" s="235"/>
      <c r="H27" s="231"/>
      <c r="I27" s="234">
        <v>24</v>
      </c>
      <c r="J27" s="235" t="s">
        <v>76</v>
      </c>
      <c r="K27" s="235" t="s">
        <v>199</v>
      </c>
      <c r="L27" s="235">
        <v>1</v>
      </c>
      <c r="M27" s="235">
        <v>9.8000000000000004E-2</v>
      </c>
      <c r="N27" s="235" t="s">
        <v>190</v>
      </c>
      <c r="O27" s="235"/>
      <c r="P27" s="231"/>
    </row>
    <row r="28" spans="1:16" ht="15.75" thickBot="1">
      <c r="A28" s="234">
        <v>25</v>
      </c>
      <c r="B28" s="235" t="s">
        <v>77</v>
      </c>
      <c r="C28" s="235" t="s">
        <v>106</v>
      </c>
      <c r="D28" s="235">
        <v>2</v>
      </c>
      <c r="E28" s="235">
        <v>0.13100000000000001</v>
      </c>
      <c r="F28" s="235" t="s">
        <v>190</v>
      </c>
      <c r="G28" s="235"/>
      <c r="H28" s="231"/>
      <c r="I28" s="234">
        <v>25</v>
      </c>
      <c r="J28" s="235" t="s">
        <v>77</v>
      </c>
      <c r="K28" s="235" t="s">
        <v>106</v>
      </c>
      <c r="L28" s="235">
        <v>2</v>
      </c>
      <c r="M28" s="235">
        <v>0.13100000000000001</v>
      </c>
      <c r="N28" s="235" t="s">
        <v>190</v>
      </c>
      <c r="O28" s="235"/>
      <c r="P28" s="231"/>
    </row>
    <row r="29" spans="1:16" ht="26.25" thickBot="1">
      <c r="A29" s="234">
        <v>26</v>
      </c>
      <c r="B29" s="238" t="s">
        <v>78</v>
      </c>
      <c r="C29" s="235"/>
      <c r="D29" s="235">
        <v>1</v>
      </c>
      <c r="E29" s="235">
        <v>0.49099999999999999</v>
      </c>
      <c r="F29" s="235" t="s">
        <v>190</v>
      </c>
      <c r="G29" s="235"/>
      <c r="H29" s="231"/>
      <c r="I29" s="234">
        <v>26</v>
      </c>
      <c r="J29" s="238" t="s">
        <v>78</v>
      </c>
      <c r="K29" s="235"/>
      <c r="L29" s="235">
        <v>1</v>
      </c>
      <c r="M29" s="235">
        <v>0.49099999999999999</v>
      </c>
      <c r="N29" s="235" t="s">
        <v>190</v>
      </c>
      <c r="O29" s="235"/>
      <c r="P29" s="231">
        <f>M29*(10^6)*73.3</f>
        <v>35990300</v>
      </c>
    </row>
    <row r="30" spans="1:16" ht="26.25" thickBot="1">
      <c r="A30" s="234">
        <v>27</v>
      </c>
      <c r="B30" s="238" t="s">
        <v>240</v>
      </c>
      <c r="C30" s="235"/>
      <c r="D30" s="235">
        <v>2</v>
      </c>
      <c r="E30" s="235">
        <v>1.36</v>
      </c>
      <c r="F30" s="235"/>
      <c r="G30" s="235" t="s">
        <v>197</v>
      </c>
      <c r="H30" s="231"/>
      <c r="I30" s="234">
        <v>27</v>
      </c>
      <c r="J30" s="238"/>
      <c r="K30" s="235"/>
      <c r="L30" s="235"/>
      <c r="M30" s="235">
        <v>1.36</v>
      </c>
      <c r="N30" s="235"/>
      <c r="O30" s="235"/>
      <c r="P30" s="231"/>
    </row>
    <row r="31" spans="1:16" ht="15.75" thickBot="1">
      <c r="A31" s="239"/>
      <c r="B31" s="240" t="s">
        <v>6</v>
      </c>
      <c r="C31" s="241"/>
      <c r="D31" s="242"/>
      <c r="E31" s="241">
        <f>SUM(E4:E30)</f>
        <v>5.367</v>
      </c>
      <c r="F31" s="241"/>
      <c r="G31" s="241"/>
      <c r="H31" s="231"/>
      <c r="I31" s="239"/>
      <c r="J31" s="240" t="s">
        <v>6</v>
      </c>
      <c r="K31" s="241"/>
      <c r="L31" s="242"/>
      <c r="M31" s="241">
        <f>SUM(M11:M30,M4:M8)</f>
        <v>4.8430000000000009</v>
      </c>
      <c r="N31" s="241"/>
      <c r="O31" s="241"/>
      <c r="P31" s="231"/>
    </row>
    <row r="32" spans="1:16" ht="15.75" thickBot="1">
      <c r="A32" s="243">
        <v>1.2</v>
      </c>
      <c r="B32" s="238" t="s">
        <v>79</v>
      </c>
      <c r="C32" s="235"/>
      <c r="D32" s="235"/>
      <c r="E32" s="235"/>
      <c r="F32" s="235"/>
      <c r="G32" s="235"/>
      <c r="H32" s="231"/>
      <c r="I32" s="243">
        <v>1.2</v>
      </c>
      <c r="J32" s="238" t="s">
        <v>79</v>
      </c>
      <c r="K32" s="235"/>
      <c r="L32" s="235"/>
      <c r="M32" s="235"/>
      <c r="N32" s="235"/>
      <c r="O32" s="235"/>
      <c r="P32" s="231"/>
    </row>
    <row r="33" spans="1:16" ht="15.75" thickBot="1">
      <c r="A33" s="243">
        <v>1</v>
      </c>
      <c r="B33" s="238" t="s">
        <v>80</v>
      </c>
      <c r="C33" s="235" t="s">
        <v>200</v>
      </c>
      <c r="D33" s="235">
        <v>2</v>
      </c>
      <c r="E33" s="235">
        <v>0.32700000000000001</v>
      </c>
      <c r="F33" s="235" t="s">
        <v>190</v>
      </c>
      <c r="G33" s="235"/>
      <c r="H33" s="231"/>
      <c r="I33" s="243">
        <v>1</v>
      </c>
      <c r="J33" s="238" t="s">
        <v>80</v>
      </c>
      <c r="K33" s="235" t="s">
        <v>200</v>
      </c>
      <c r="L33" s="235">
        <v>2</v>
      </c>
      <c r="M33" s="235">
        <v>0.32700000000000001</v>
      </c>
      <c r="N33" s="235" t="s">
        <v>190</v>
      </c>
      <c r="O33" s="235"/>
      <c r="P33" s="231"/>
    </row>
    <row r="34" spans="1:16" ht="15.75" thickBot="1">
      <c r="A34" s="243">
        <v>2</v>
      </c>
      <c r="B34" s="238" t="s">
        <v>82</v>
      </c>
      <c r="C34" s="235" t="s">
        <v>201</v>
      </c>
      <c r="D34" s="235">
        <v>1</v>
      </c>
      <c r="E34" s="235">
        <v>0.14699999999999999</v>
      </c>
      <c r="F34" s="235" t="s">
        <v>190</v>
      </c>
      <c r="G34" s="235"/>
      <c r="H34" s="231"/>
      <c r="I34" s="243">
        <v>2</v>
      </c>
      <c r="J34" s="238" t="s">
        <v>82</v>
      </c>
      <c r="K34" s="235" t="s">
        <v>201</v>
      </c>
      <c r="L34" s="235">
        <v>1</v>
      </c>
      <c r="M34" s="235">
        <v>0.14699999999999999</v>
      </c>
      <c r="N34" s="235" t="s">
        <v>190</v>
      </c>
      <c r="O34" s="235"/>
      <c r="P34" s="231"/>
    </row>
    <row r="35" spans="1:16" ht="15.75" thickBot="1">
      <c r="A35" s="234">
        <v>3</v>
      </c>
      <c r="B35" s="235" t="s">
        <v>202</v>
      </c>
      <c r="C35" s="235" t="s">
        <v>100</v>
      </c>
      <c r="D35" s="235">
        <v>1</v>
      </c>
      <c r="E35" s="235">
        <v>4.1000000000000002E-2</v>
      </c>
      <c r="F35" s="235" t="s">
        <v>190</v>
      </c>
      <c r="G35" s="235"/>
      <c r="H35" s="231"/>
      <c r="I35" s="234">
        <v>3</v>
      </c>
      <c r="J35" s="235" t="s">
        <v>202</v>
      </c>
      <c r="K35" s="235" t="s">
        <v>100</v>
      </c>
      <c r="L35" s="235">
        <v>1</v>
      </c>
      <c r="M35" s="235">
        <v>4.1000000000000002E-2</v>
      </c>
      <c r="N35" s="235" t="s">
        <v>190</v>
      </c>
      <c r="O35" s="235"/>
      <c r="P35" s="231"/>
    </row>
    <row r="36" spans="1:16" ht="39" thickBot="1">
      <c r="A36" s="234">
        <v>4</v>
      </c>
      <c r="B36" s="235" t="s">
        <v>84</v>
      </c>
      <c r="C36" s="235" t="s">
        <v>203</v>
      </c>
      <c r="D36" s="235">
        <v>4</v>
      </c>
      <c r="E36" s="235">
        <v>0.02</v>
      </c>
      <c r="F36" s="235" t="s">
        <v>190</v>
      </c>
      <c r="G36" s="235" t="s">
        <v>83</v>
      </c>
      <c r="H36" s="231"/>
      <c r="I36" s="234">
        <v>4</v>
      </c>
      <c r="J36" s="235" t="s">
        <v>84</v>
      </c>
      <c r="K36" s="235" t="s">
        <v>203</v>
      </c>
      <c r="L36" s="235">
        <v>4</v>
      </c>
      <c r="M36" s="235">
        <v>0.02</v>
      </c>
      <c r="N36" s="235" t="s">
        <v>190</v>
      </c>
      <c r="O36" s="235" t="s">
        <v>83</v>
      </c>
      <c r="P36" s="231"/>
    </row>
    <row r="37" spans="1:16" ht="15.75" thickBot="1">
      <c r="A37" s="243">
        <v>5</v>
      </c>
      <c r="B37" s="235" t="s">
        <v>86</v>
      </c>
      <c r="C37" s="235" t="s">
        <v>204</v>
      </c>
      <c r="D37" s="235">
        <v>1</v>
      </c>
      <c r="E37" s="235">
        <v>4.1000000000000002E-2</v>
      </c>
      <c r="F37" s="235" t="s">
        <v>190</v>
      </c>
      <c r="G37" s="235"/>
      <c r="H37" s="231"/>
      <c r="I37" s="234">
        <v>5</v>
      </c>
      <c r="J37" s="235" t="s">
        <v>86</v>
      </c>
      <c r="K37" s="235" t="s">
        <v>204</v>
      </c>
      <c r="L37" s="235">
        <v>1</v>
      </c>
      <c r="M37" s="235">
        <v>4.1000000000000002E-2</v>
      </c>
      <c r="N37" s="235" t="s">
        <v>190</v>
      </c>
      <c r="O37" s="235"/>
      <c r="P37" s="231"/>
    </row>
    <row r="38" spans="1:16" ht="15.75" thickBot="1">
      <c r="A38" s="243">
        <v>6</v>
      </c>
      <c r="B38" s="235" t="s">
        <v>87</v>
      </c>
      <c r="C38" s="235" t="s">
        <v>101</v>
      </c>
      <c r="D38" s="235">
        <v>1</v>
      </c>
      <c r="E38" s="235">
        <v>2.5000000000000001E-2</v>
      </c>
      <c r="F38" s="235" t="s">
        <v>190</v>
      </c>
      <c r="G38" s="235"/>
      <c r="H38" s="231"/>
      <c r="I38" s="234">
        <v>6</v>
      </c>
      <c r="J38" s="235" t="s">
        <v>87</v>
      </c>
      <c r="K38" s="235" t="s">
        <v>101</v>
      </c>
      <c r="L38" s="235">
        <v>1</v>
      </c>
      <c r="M38" s="235">
        <v>2.5000000000000001E-2</v>
      </c>
      <c r="N38" s="235" t="s">
        <v>190</v>
      </c>
      <c r="O38" s="235"/>
      <c r="P38" s="231"/>
    </row>
    <row r="39" spans="1:16" ht="15.75" thickBot="1">
      <c r="A39" s="234">
        <v>7</v>
      </c>
      <c r="B39" s="235" t="s">
        <v>88</v>
      </c>
      <c r="C39" s="235" t="s">
        <v>205</v>
      </c>
      <c r="D39" s="235">
        <v>1</v>
      </c>
      <c r="E39" s="235">
        <v>0.02</v>
      </c>
      <c r="F39" s="235" t="s">
        <v>190</v>
      </c>
      <c r="G39" s="235"/>
      <c r="H39" s="231"/>
      <c r="I39" s="234">
        <v>7</v>
      </c>
      <c r="J39" s="235" t="s">
        <v>88</v>
      </c>
      <c r="K39" s="235" t="s">
        <v>205</v>
      </c>
      <c r="L39" s="235">
        <v>1</v>
      </c>
      <c r="M39" s="235">
        <v>0.02</v>
      </c>
      <c r="N39" s="235" t="s">
        <v>190</v>
      </c>
      <c r="O39" s="235"/>
      <c r="P39" s="231"/>
    </row>
    <row r="40" spans="1:16" ht="21.75" customHeight="1" thickBot="1">
      <c r="A40" s="234">
        <v>8</v>
      </c>
      <c r="B40" s="235" t="s">
        <v>62</v>
      </c>
      <c r="C40" s="235" t="s">
        <v>206</v>
      </c>
      <c r="D40" s="235">
        <v>1</v>
      </c>
      <c r="E40" s="235">
        <v>0.4</v>
      </c>
      <c r="F40" s="235" t="s">
        <v>194</v>
      </c>
      <c r="G40" s="235"/>
      <c r="H40" s="231"/>
      <c r="I40" s="234">
        <v>8</v>
      </c>
      <c r="J40" s="235" t="s">
        <v>62</v>
      </c>
      <c r="K40" s="235" t="s">
        <v>206</v>
      </c>
      <c r="L40" s="235">
        <v>1</v>
      </c>
      <c r="M40" s="235">
        <v>0.4</v>
      </c>
      <c r="N40" s="235" t="s">
        <v>194</v>
      </c>
      <c r="O40" s="235"/>
      <c r="P40" s="231"/>
    </row>
    <row r="41" spans="1:16" ht="15.75" thickBot="1">
      <c r="A41" s="243">
        <v>9</v>
      </c>
      <c r="B41" s="235" t="s">
        <v>89</v>
      </c>
      <c r="C41" s="235" t="s">
        <v>207</v>
      </c>
      <c r="D41" s="235">
        <v>1</v>
      </c>
      <c r="E41" s="235">
        <v>0.02</v>
      </c>
      <c r="F41" s="235" t="s">
        <v>190</v>
      </c>
      <c r="G41" s="235"/>
      <c r="H41" s="231"/>
      <c r="I41" s="234">
        <v>9</v>
      </c>
      <c r="J41" s="235" t="s">
        <v>89</v>
      </c>
      <c r="K41" s="235" t="s">
        <v>207</v>
      </c>
      <c r="L41" s="235">
        <v>1</v>
      </c>
      <c r="M41" s="235">
        <v>0.02</v>
      </c>
      <c r="N41" s="235" t="s">
        <v>190</v>
      </c>
      <c r="O41" s="235"/>
      <c r="P41" s="231"/>
    </row>
    <row r="42" spans="1:16" ht="15.75" thickBot="1">
      <c r="A42" s="243">
        <v>10</v>
      </c>
      <c r="B42" s="235" t="s">
        <v>202</v>
      </c>
      <c r="C42" s="235" t="s">
        <v>208</v>
      </c>
      <c r="D42" s="235">
        <v>1</v>
      </c>
      <c r="E42" s="235">
        <v>3.3000000000000002E-2</v>
      </c>
      <c r="F42" s="235" t="s">
        <v>190</v>
      </c>
      <c r="G42" s="235"/>
      <c r="H42" s="231"/>
      <c r="I42" s="234">
        <v>10</v>
      </c>
      <c r="J42" s="235" t="s">
        <v>202</v>
      </c>
      <c r="K42" s="235" t="s">
        <v>208</v>
      </c>
      <c r="L42" s="235">
        <v>1</v>
      </c>
      <c r="M42" s="235">
        <v>3.3000000000000002E-2</v>
      </c>
      <c r="N42" s="235" t="s">
        <v>190</v>
      </c>
      <c r="O42" s="235"/>
      <c r="P42" s="231"/>
    </row>
    <row r="43" spans="1:16" ht="15.75" thickBot="1">
      <c r="A43" s="234">
        <v>11</v>
      </c>
      <c r="B43" s="235" t="s">
        <v>62</v>
      </c>
      <c r="C43" s="235" t="s">
        <v>209</v>
      </c>
      <c r="D43" s="235">
        <v>1</v>
      </c>
      <c r="E43" s="235">
        <v>0.4</v>
      </c>
      <c r="F43" s="235" t="s">
        <v>194</v>
      </c>
      <c r="G43" s="235"/>
      <c r="H43" s="231"/>
      <c r="I43" s="234">
        <v>11</v>
      </c>
      <c r="J43" s="235" t="s">
        <v>62</v>
      </c>
      <c r="K43" s="235" t="s">
        <v>209</v>
      </c>
      <c r="L43" s="235">
        <v>1</v>
      </c>
      <c r="M43" s="235">
        <v>0.4</v>
      </c>
      <c r="N43" s="235" t="s">
        <v>194</v>
      </c>
      <c r="O43" s="235"/>
      <c r="P43" s="231"/>
    </row>
    <row r="44" spans="1:16" ht="15.75" thickBot="1">
      <c r="A44" s="234">
        <v>12</v>
      </c>
      <c r="B44" s="235" t="s">
        <v>202</v>
      </c>
      <c r="C44" s="235" t="s">
        <v>208</v>
      </c>
      <c r="D44" s="235">
        <v>1</v>
      </c>
      <c r="E44" s="235">
        <v>4.9000000000000002E-2</v>
      </c>
      <c r="F44" s="235" t="s">
        <v>190</v>
      </c>
      <c r="G44" s="235"/>
      <c r="H44" s="231"/>
      <c r="I44" s="234">
        <v>12</v>
      </c>
      <c r="J44" s="235" t="s">
        <v>202</v>
      </c>
      <c r="K44" s="235" t="s">
        <v>208</v>
      </c>
      <c r="L44" s="235">
        <v>1</v>
      </c>
      <c r="M44" s="235">
        <v>4.9000000000000002E-2</v>
      </c>
      <c r="N44" s="235" t="s">
        <v>190</v>
      </c>
      <c r="O44" s="235"/>
      <c r="P44" s="231"/>
    </row>
    <row r="45" spans="1:16" ht="15.75" thickBot="1">
      <c r="A45" s="243">
        <v>13</v>
      </c>
      <c r="B45" s="235" t="s">
        <v>90</v>
      </c>
      <c r="C45" s="235" t="s">
        <v>102</v>
      </c>
      <c r="D45" s="235">
        <v>1</v>
      </c>
      <c r="E45" s="235">
        <v>3.0000000000000001E-3</v>
      </c>
      <c r="F45" s="235" t="s">
        <v>190</v>
      </c>
      <c r="G45" s="235"/>
      <c r="H45" s="231"/>
      <c r="I45" s="234">
        <v>13</v>
      </c>
      <c r="J45" s="235" t="s">
        <v>90</v>
      </c>
      <c r="K45" s="235" t="s">
        <v>102</v>
      </c>
      <c r="L45" s="235">
        <v>1</v>
      </c>
      <c r="M45" s="235">
        <v>3.0000000000000001E-3</v>
      </c>
      <c r="N45" s="235" t="s">
        <v>190</v>
      </c>
      <c r="O45" s="235"/>
      <c r="P45" s="231"/>
    </row>
    <row r="46" spans="1:16" ht="15.75" thickBot="1">
      <c r="A46" s="243">
        <v>14</v>
      </c>
      <c r="B46" s="235" t="s">
        <v>91</v>
      </c>
      <c r="C46" s="235" t="s">
        <v>210</v>
      </c>
      <c r="D46" s="235">
        <v>1</v>
      </c>
      <c r="E46" s="235">
        <v>1.6E-2</v>
      </c>
      <c r="F46" s="235" t="s">
        <v>190</v>
      </c>
      <c r="G46" s="235"/>
      <c r="H46" s="231"/>
      <c r="I46" s="234">
        <v>14</v>
      </c>
      <c r="J46" s="235" t="s">
        <v>91</v>
      </c>
      <c r="K46" s="235" t="s">
        <v>210</v>
      </c>
      <c r="L46" s="235">
        <v>1</v>
      </c>
      <c r="M46" s="235">
        <v>1.6E-2</v>
      </c>
      <c r="N46" s="235" t="s">
        <v>190</v>
      </c>
      <c r="O46" s="235"/>
      <c r="P46" s="231"/>
    </row>
    <row r="47" spans="1:16" ht="15.75" thickBot="1">
      <c r="A47" s="234">
        <v>15</v>
      </c>
      <c r="B47" s="235" t="s">
        <v>62</v>
      </c>
      <c r="C47" s="235" t="s">
        <v>211</v>
      </c>
      <c r="D47" s="235">
        <v>1</v>
      </c>
      <c r="E47" s="235">
        <v>0.4</v>
      </c>
      <c r="F47" s="235" t="s">
        <v>194</v>
      </c>
      <c r="G47" s="235"/>
      <c r="H47" s="231"/>
      <c r="I47" s="234">
        <v>15</v>
      </c>
      <c r="J47" s="235" t="s">
        <v>62</v>
      </c>
      <c r="K47" s="235" t="s">
        <v>211</v>
      </c>
      <c r="L47" s="235">
        <v>1</v>
      </c>
      <c r="M47" s="235">
        <v>0.4</v>
      </c>
      <c r="N47" s="235" t="s">
        <v>194</v>
      </c>
      <c r="O47" s="235"/>
      <c r="P47" s="231"/>
    </row>
    <row r="48" spans="1:16" ht="15.75" thickBot="1">
      <c r="A48" s="234">
        <v>16</v>
      </c>
      <c r="B48" s="235" t="s">
        <v>92</v>
      </c>
      <c r="C48" s="235" t="s">
        <v>207</v>
      </c>
      <c r="D48" s="235">
        <v>1</v>
      </c>
      <c r="E48" s="235">
        <v>5.0000000000000001E-3</v>
      </c>
      <c r="F48" s="235" t="s">
        <v>190</v>
      </c>
      <c r="G48" s="235"/>
      <c r="H48" s="231"/>
      <c r="I48" s="234">
        <v>16</v>
      </c>
      <c r="J48" s="235" t="s">
        <v>92</v>
      </c>
      <c r="K48" s="235" t="s">
        <v>207</v>
      </c>
      <c r="L48" s="235">
        <v>1</v>
      </c>
      <c r="M48" s="235">
        <v>5.0000000000000001E-3</v>
      </c>
      <c r="N48" s="235" t="s">
        <v>190</v>
      </c>
      <c r="O48" s="235"/>
      <c r="P48" s="231"/>
    </row>
    <row r="49" spans="1:16" ht="15.75" thickBot="1">
      <c r="A49" s="243">
        <v>17</v>
      </c>
      <c r="B49" s="235" t="s">
        <v>202</v>
      </c>
      <c r="C49" s="235" t="s">
        <v>208</v>
      </c>
      <c r="D49" s="235">
        <v>1</v>
      </c>
      <c r="E49" s="235">
        <v>4.9000000000000002E-2</v>
      </c>
      <c r="F49" s="235" t="s">
        <v>190</v>
      </c>
      <c r="G49" s="235"/>
      <c r="H49" s="231"/>
      <c r="I49" s="234">
        <v>17</v>
      </c>
      <c r="J49" s="235" t="s">
        <v>202</v>
      </c>
      <c r="K49" s="235" t="s">
        <v>208</v>
      </c>
      <c r="L49" s="235">
        <v>1</v>
      </c>
      <c r="M49" s="235">
        <v>4.9000000000000002E-2</v>
      </c>
      <c r="N49" s="235" t="s">
        <v>190</v>
      </c>
      <c r="O49" s="235"/>
      <c r="P49" s="231"/>
    </row>
    <row r="50" spans="1:16" ht="15.75" thickBot="1">
      <c r="A50" s="243">
        <v>18</v>
      </c>
      <c r="B50" s="235" t="s">
        <v>93</v>
      </c>
      <c r="C50" s="235" t="s">
        <v>210</v>
      </c>
      <c r="D50" s="235">
        <v>1</v>
      </c>
      <c r="E50" s="235">
        <v>1.6E-2</v>
      </c>
      <c r="F50" s="235" t="s">
        <v>190</v>
      </c>
      <c r="G50" s="235"/>
      <c r="H50" s="231"/>
      <c r="I50" s="234">
        <v>18</v>
      </c>
      <c r="J50" s="235" t="s">
        <v>93</v>
      </c>
      <c r="K50" s="235" t="s">
        <v>210</v>
      </c>
      <c r="L50" s="235">
        <v>1</v>
      </c>
      <c r="M50" s="235">
        <v>1.6E-2</v>
      </c>
      <c r="N50" s="235" t="s">
        <v>190</v>
      </c>
      <c r="O50" s="235"/>
      <c r="P50" s="231"/>
    </row>
    <row r="51" spans="1:16" ht="15.75" thickBot="1">
      <c r="A51" s="234">
        <v>19</v>
      </c>
      <c r="B51" s="235" t="s">
        <v>94</v>
      </c>
      <c r="C51" s="235" t="s">
        <v>212</v>
      </c>
      <c r="D51" s="235">
        <v>1</v>
      </c>
      <c r="E51" s="235">
        <v>0.32700000000000001</v>
      </c>
      <c r="F51" s="235" t="s">
        <v>194</v>
      </c>
      <c r="G51" s="235"/>
      <c r="H51" s="231"/>
      <c r="I51" s="234">
        <v>19</v>
      </c>
      <c r="J51" s="235" t="s">
        <v>94</v>
      </c>
      <c r="K51" s="235" t="s">
        <v>212</v>
      </c>
      <c r="L51" s="235">
        <v>1</v>
      </c>
      <c r="M51" s="235">
        <v>0.32700000000000001</v>
      </c>
      <c r="N51" s="235" t="s">
        <v>194</v>
      </c>
      <c r="O51" s="235"/>
      <c r="P51" s="231"/>
    </row>
    <row r="52" spans="1:16" ht="15.75" thickBot="1">
      <c r="A52" s="234">
        <v>20</v>
      </c>
      <c r="B52" s="235" t="s">
        <v>202</v>
      </c>
      <c r="C52" s="235" t="s">
        <v>213</v>
      </c>
      <c r="D52" s="235">
        <v>1</v>
      </c>
      <c r="E52" s="235">
        <v>6.5000000000000002E-2</v>
      </c>
      <c r="F52" s="235" t="s">
        <v>190</v>
      </c>
      <c r="G52" s="235"/>
      <c r="H52" s="231"/>
      <c r="I52" s="234">
        <v>20</v>
      </c>
      <c r="J52" s="235" t="s">
        <v>202</v>
      </c>
      <c r="K52" s="235" t="s">
        <v>213</v>
      </c>
      <c r="L52" s="235">
        <v>1</v>
      </c>
      <c r="M52" s="235">
        <v>6.5000000000000002E-2</v>
      </c>
      <c r="N52" s="235" t="s">
        <v>190</v>
      </c>
      <c r="O52" s="235"/>
      <c r="P52" s="231"/>
    </row>
    <row r="53" spans="1:16" ht="15.75" thickBot="1">
      <c r="A53" s="243">
        <v>21</v>
      </c>
      <c r="B53" s="235" t="s">
        <v>95</v>
      </c>
      <c r="C53" s="235" t="s">
        <v>214</v>
      </c>
      <c r="D53" s="235">
        <v>1</v>
      </c>
      <c r="E53" s="235">
        <v>1.6E-2</v>
      </c>
      <c r="F53" s="235" t="s">
        <v>190</v>
      </c>
      <c r="G53" s="235"/>
      <c r="H53" s="231"/>
      <c r="I53" s="234">
        <v>21</v>
      </c>
      <c r="J53" s="235" t="s">
        <v>95</v>
      </c>
      <c r="K53" s="235" t="s">
        <v>214</v>
      </c>
      <c r="L53" s="235">
        <v>1</v>
      </c>
      <c r="M53" s="235">
        <v>1.6E-2</v>
      </c>
      <c r="N53" s="235" t="s">
        <v>190</v>
      </c>
      <c r="O53" s="235"/>
      <c r="P53" s="231"/>
    </row>
    <row r="54" spans="1:16" ht="26.25" thickBot="1">
      <c r="A54" s="243">
        <v>22</v>
      </c>
      <c r="B54" s="235" t="s">
        <v>103</v>
      </c>
      <c r="C54" s="235" t="s">
        <v>104</v>
      </c>
      <c r="D54" s="235">
        <v>1</v>
      </c>
      <c r="E54" s="235">
        <v>3.3000000000000002E-2</v>
      </c>
      <c r="F54" s="235" t="s">
        <v>190</v>
      </c>
      <c r="G54" s="235"/>
      <c r="H54" s="231"/>
      <c r="I54" s="234">
        <v>22</v>
      </c>
      <c r="J54" s="235" t="s">
        <v>103</v>
      </c>
      <c r="K54" s="235" t="s">
        <v>104</v>
      </c>
      <c r="L54" s="235">
        <v>1</v>
      </c>
      <c r="M54" s="235">
        <v>3.3000000000000002E-2</v>
      </c>
      <c r="N54" s="235" t="s">
        <v>190</v>
      </c>
      <c r="O54" s="235"/>
      <c r="P54" s="231"/>
    </row>
    <row r="55" spans="1:16" ht="15.75" thickBot="1">
      <c r="A55" s="234">
        <v>23</v>
      </c>
      <c r="B55" s="235" t="s">
        <v>96</v>
      </c>
      <c r="C55" s="235" t="s">
        <v>215</v>
      </c>
      <c r="D55" s="235">
        <v>1</v>
      </c>
      <c r="E55" s="235">
        <v>6.5000000000000002E-2</v>
      </c>
      <c r="F55" s="235" t="s">
        <v>190</v>
      </c>
      <c r="G55" s="235"/>
      <c r="H55" s="231"/>
      <c r="I55" s="234">
        <v>23</v>
      </c>
      <c r="J55" s="235" t="s">
        <v>96</v>
      </c>
      <c r="K55" s="235" t="s">
        <v>215</v>
      </c>
      <c r="L55" s="235">
        <v>1</v>
      </c>
      <c r="M55" s="235">
        <v>6.5000000000000002E-2</v>
      </c>
      <c r="N55" s="235" t="s">
        <v>190</v>
      </c>
      <c r="O55" s="235"/>
      <c r="P55" s="231"/>
    </row>
    <row r="56" spans="1:16" ht="15.75" thickBot="1">
      <c r="A56" s="234">
        <v>24</v>
      </c>
      <c r="B56" s="235" t="s">
        <v>97</v>
      </c>
      <c r="C56" s="235" t="s">
        <v>105</v>
      </c>
      <c r="D56" s="235">
        <v>1</v>
      </c>
      <c r="E56" s="235">
        <v>0.13100000000000001</v>
      </c>
      <c r="F56" s="235" t="s">
        <v>190</v>
      </c>
      <c r="G56" s="235"/>
      <c r="H56" s="231"/>
      <c r="I56" s="234">
        <v>24</v>
      </c>
      <c r="J56" s="235" t="s">
        <v>97</v>
      </c>
      <c r="K56" s="235" t="s">
        <v>105</v>
      </c>
      <c r="L56" s="235">
        <v>1</v>
      </c>
      <c r="M56" s="235">
        <v>0.13100000000000001</v>
      </c>
      <c r="N56" s="235" t="s">
        <v>190</v>
      </c>
      <c r="O56" s="235"/>
      <c r="P56" s="231"/>
    </row>
    <row r="57" spans="1:16" ht="39" thickBot="1">
      <c r="A57" s="243">
        <v>25</v>
      </c>
      <c r="B57" s="235" t="s">
        <v>216</v>
      </c>
      <c r="C57" s="237" t="s">
        <v>251</v>
      </c>
      <c r="D57" s="235">
        <v>4</v>
      </c>
      <c r="E57" s="235">
        <v>9.8000000000000004E-2</v>
      </c>
      <c r="F57" s="235" t="s">
        <v>190</v>
      </c>
      <c r="G57" s="235"/>
      <c r="H57" s="231"/>
      <c r="I57" s="234">
        <v>25</v>
      </c>
      <c r="J57" s="235" t="s">
        <v>217</v>
      </c>
      <c r="K57" s="244" t="s">
        <v>252</v>
      </c>
      <c r="L57" s="235">
        <v>4</v>
      </c>
      <c r="M57" s="235">
        <v>9.8000000000000004E-2</v>
      </c>
      <c r="N57" s="235" t="s">
        <v>190</v>
      </c>
      <c r="O57" s="235"/>
      <c r="P57" s="231"/>
    </row>
    <row r="58" spans="1:16" ht="15.75" thickBot="1">
      <c r="A58" s="243">
        <v>26</v>
      </c>
      <c r="B58" s="235" t="s">
        <v>98</v>
      </c>
      <c r="C58" s="235" t="s">
        <v>218</v>
      </c>
      <c r="D58" s="235">
        <v>1</v>
      </c>
      <c r="E58" s="235">
        <v>2.5000000000000001E-2</v>
      </c>
      <c r="F58" s="235" t="s">
        <v>190</v>
      </c>
      <c r="G58" s="235"/>
      <c r="H58" s="231"/>
      <c r="I58" s="234">
        <v>26</v>
      </c>
      <c r="J58" s="235" t="s">
        <v>98</v>
      </c>
      <c r="K58" s="235" t="s">
        <v>218</v>
      </c>
      <c r="L58" s="235">
        <v>1</v>
      </c>
      <c r="M58" s="235">
        <v>2.5000000000000001E-2</v>
      </c>
      <c r="N58" s="235" t="s">
        <v>190</v>
      </c>
      <c r="O58" s="235"/>
      <c r="P58" s="231"/>
    </row>
    <row r="59" spans="1:16" ht="15.75" thickBot="1">
      <c r="A59" s="234">
        <v>27</v>
      </c>
      <c r="B59" s="235" t="s">
        <v>73</v>
      </c>
      <c r="C59" s="235" t="s">
        <v>85</v>
      </c>
      <c r="D59" s="235">
        <v>4</v>
      </c>
      <c r="E59" s="235">
        <v>0.69799999999999995</v>
      </c>
      <c r="F59" s="235" t="s">
        <v>190</v>
      </c>
      <c r="G59" s="235"/>
      <c r="H59" s="231"/>
      <c r="I59" s="234">
        <v>27</v>
      </c>
      <c r="J59" s="235" t="s">
        <v>73</v>
      </c>
      <c r="K59" s="235" t="s">
        <v>85</v>
      </c>
      <c r="L59" s="235">
        <v>4</v>
      </c>
      <c r="M59" s="235">
        <v>0.69799999999999995</v>
      </c>
      <c r="N59" s="235" t="s">
        <v>190</v>
      </c>
      <c r="O59" s="235"/>
      <c r="P59" s="231"/>
    </row>
    <row r="60" spans="1:16" ht="15.75" thickBot="1">
      <c r="A60" s="234">
        <v>28</v>
      </c>
      <c r="B60" s="235" t="s">
        <v>219</v>
      </c>
      <c r="C60" s="235" t="s">
        <v>220</v>
      </c>
      <c r="D60" s="235">
        <v>4</v>
      </c>
      <c r="E60" s="235">
        <v>9.8000000000000004E-2</v>
      </c>
      <c r="F60" s="235" t="s">
        <v>190</v>
      </c>
      <c r="G60" s="235"/>
      <c r="H60" s="231"/>
      <c r="I60" s="234">
        <v>28</v>
      </c>
      <c r="J60" s="235" t="s">
        <v>219</v>
      </c>
      <c r="K60" s="235" t="s">
        <v>220</v>
      </c>
      <c r="L60" s="235">
        <v>4</v>
      </c>
      <c r="M60" s="235">
        <v>9.8000000000000004E-2</v>
      </c>
      <c r="N60" s="235" t="s">
        <v>190</v>
      </c>
      <c r="O60" s="235"/>
      <c r="P60" s="231"/>
    </row>
    <row r="61" spans="1:16" ht="15.75" thickBot="1">
      <c r="A61" s="243">
        <v>29</v>
      </c>
      <c r="B61" s="235" t="s">
        <v>99</v>
      </c>
      <c r="C61" s="235" t="s">
        <v>214</v>
      </c>
      <c r="D61" s="235">
        <v>4</v>
      </c>
      <c r="E61" s="235">
        <v>7.9000000000000001E-2</v>
      </c>
      <c r="F61" s="235" t="s">
        <v>190</v>
      </c>
      <c r="G61" s="235"/>
      <c r="H61" s="231"/>
      <c r="I61" s="234">
        <v>29</v>
      </c>
      <c r="J61" s="235" t="s">
        <v>99</v>
      </c>
      <c r="K61" s="235" t="s">
        <v>214</v>
      </c>
      <c r="L61" s="235">
        <v>4</v>
      </c>
      <c r="M61" s="235">
        <v>7.9000000000000001E-2</v>
      </c>
      <c r="N61" s="235" t="s">
        <v>190</v>
      </c>
      <c r="O61" s="235"/>
      <c r="P61" s="231"/>
    </row>
    <row r="62" spans="1:16" ht="15.75" thickBot="1">
      <c r="A62" s="243">
        <v>30</v>
      </c>
      <c r="B62" s="235" t="s">
        <v>84</v>
      </c>
      <c r="C62" s="235" t="s">
        <v>203</v>
      </c>
      <c r="D62" s="235">
        <v>5</v>
      </c>
      <c r="E62" s="235">
        <v>8.2000000000000003E-2</v>
      </c>
      <c r="F62" s="235" t="s">
        <v>190</v>
      </c>
      <c r="G62" s="235"/>
      <c r="H62" s="231"/>
      <c r="I62" s="234">
        <v>30</v>
      </c>
      <c r="J62" s="235" t="s">
        <v>84</v>
      </c>
      <c r="K62" s="235" t="s">
        <v>203</v>
      </c>
      <c r="L62" s="235">
        <v>5</v>
      </c>
      <c r="M62" s="235">
        <v>8.2000000000000003E-2</v>
      </c>
      <c r="N62" s="235" t="s">
        <v>190</v>
      </c>
      <c r="O62" s="235"/>
      <c r="P62" s="231"/>
    </row>
    <row r="63" spans="1:16" ht="15.75" thickBot="1">
      <c r="A63" s="245"/>
      <c r="B63" s="236" t="s">
        <v>6</v>
      </c>
      <c r="C63" s="236"/>
      <c r="D63" s="236"/>
      <c r="E63" s="236">
        <f>SUM(E33:E62)</f>
        <v>3.7289999999999996</v>
      </c>
      <c r="F63" s="236"/>
      <c r="G63" s="236"/>
      <c r="H63" s="231"/>
      <c r="I63" s="246"/>
      <c r="J63" s="236" t="s">
        <v>6</v>
      </c>
      <c r="K63" s="236"/>
      <c r="L63" s="236"/>
      <c r="M63" s="236">
        <f>SUM(M33:M62)</f>
        <v>3.7289999999999996</v>
      </c>
      <c r="N63" s="236"/>
      <c r="O63" s="235"/>
      <c r="P63" s="231"/>
    </row>
    <row r="64" spans="1:16" ht="15.75" thickBot="1">
      <c r="A64" s="247">
        <v>1.3</v>
      </c>
      <c r="B64" s="241" t="s">
        <v>114</v>
      </c>
      <c r="C64" s="241" t="s">
        <v>115</v>
      </c>
      <c r="D64" s="241"/>
      <c r="E64" s="241">
        <v>0.47699999999999998</v>
      </c>
      <c r="F64" s="241"/>
      <c r="G64" s="241"/>
      <c r="H64" s="231"/>
      <c r="I64" s="247">
        <v>1.3</v>
      </c>
      <c r="J64" s="241" t="s">
        <v>114</v>
      </c>
      <c r="K64" s="241" t="s">
        <v>115</v>
      </c>
      <c r="L64" s="241"/>
      <c r="M64" s="241">
        <v>0.47699999999999998</v>
      </c>
      <c r="N64" s="241"/>
      <c r="O64" s="241"/>
      <c r="P64" s="231"/>
    </row>
    <row r="65" spans="1:16" ht="15.75" thickBot="1">
      <c r="A65" s="247">
        <v>1.4</v>
      </c>
      <c r="B65" s="241" t="s">
        <v>253</v>
      </c>
      <c r="C65" s="241" t="s">
        <v>254</v>
      </c>
      <c r="D65" s="241"/>
      <c r="E65" s="241">
        <v>0.27</v>
      </c>
      <c r="F65" s="241"/>
      <c r="G65" s="241"/>
      <c r="H65" s="231"/>
      <c r="I65" s="247">
        <v>1.4</v>
      </c>
      <c r="J65" s="241" t="s">
        <v>253</v>
      </c>
      <c r="K65" s="241" t="s">
        <v>254</v>
      </c>
      <c r="L65" s="241"/>
      <c r="M65" s="241">
        <v>0.27</v>
      </c>
      <c r="N65" s="241"/>
      <c r="O65" s="241"/>
      <c r="P65" s="231"/>
    </row>
    <row r="66" spans="1:16" ht="26.25" thickBot="1">
      <c r="A66" s="245"/>
      <c r="B66" s="235" t="s">
        <v>255</v>
      </c>
      <c r="C66" s="235"/>
      <c r="D66" s="235"/>
      <c r="E66" s="306">
        <f>E64+E63+E31+E65</f>
        <v>9.843</v>
      </c>
      <c r="F66" s="235"/>
      <c r="G66" s="248"/>
      <c r="H66" s="231"/>
      <c r="I66" s="245"/>
      <c r="J66" s="235" t="s">
        <v>255</v>
      </c>
      <c r="K66" s="235"/>
      <c r="L66" s="235"/>
      <c r="M66" s="306">
        <f>M64+M63+M31+M65</f>
        <v>9.3189999999999991</v>
      </c>
      <c r="N66" s="235"/>
      <c r="O66" s="248"/>
      <c r="P66" s="231"/>
    </row>
    <row r="67" spans="1:16" ht="15.75">
      <c r="A67" s="89"/>
    </row>
  </sheetData>
  <mergeCells count="15">
    <mergeCell ref="K9:O10"/>
    <mergeCell ref="A1:G1"/>
    <mergeCell ref="I1:O1"/>
    <mergeCell ref="A2:A3"/>
    <mergeCell ref="B2:B3"/>
    <mergeCell ref="C2:C3"/>
    <mergeCell ref="D2:D3"/>
    <mergeCell ref="F2:F3"/>
    <mergeCell ref="G2:G3"/>
    <mergeCell ref="I2:I3"/>
    <mergeCell ref="J2:J3"/>
    <mergeCell ref="K2:K3"/>
    <mergeCell ref="L2:L3"/>
    <mergeCell ref="N2:N3"/>
    <mergeCell ref="O2:O3"/>
  </mergeCell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13D6ED-E8EC-4A4E-AC9B-8F7987BF9400}">
  <dimension ref="A1:D17"/>
  <sheetViews>
    <sheetView showGridLines="0" workbookViewId="0">
      <selection activeCell="D14" sqref="D14"/>
    </sheetView>
  </sheetViews>
  <sheetFormatPr defaultRowHeight="15"/>
  <cols>
    <col min="1" max="1" width="6.42578125" style="205" bestFit="1" customWidth="1"/>
    <col min="2" max="2" width="33.5703125" style="205" bestFit="1" customWidth="1"/>
    <col min="3" max="3" width="37.7109375" style="205" bestFit="1" customWidth="1"/>
    <col min="4" max="4" width="37" style="205" bestFit="1" customWidth="1"/>
    <col min="5" max="16384" width="9.140625" style="205"/>
  </cols>
  <sheetData>
    <row r="1" spans="1:4">
      <c r="A1" s="309" t="s">
        <v>360</v>
      </c>
      <c r="B1" s="310" t="s">
        <v>382</v>
      </c>
      <c r="C1" s="311" t="s">
        <v>383</v>
      </c>
      <c r="D1" s="311" t="s">
        <v>384</v>
      </c>
    </row>
    <row r="2" spans="1:4">
      <c r="A2" s="312">
        <v>2015</v>
      </c>
      <c r="B2" s="313">
        <v>3718</v>
      </c>
      <c r="C2" s="155">
        <v>4844</v>
      </c>
      <c r="D2" s="155">
        <v>3040</v>
      </c>
    </row>
    <row r="3" spans="1:4">
      <c r="A3" s="312">
        <v>2016</v>
      </c>
      <c r="B3" s="313">
        <v>3839</v>
      </c>
      <c r="C3" s="155">
        <v>4913</v>
      </c>
      <c r="D3" s="155">
        <v>3224</v>
      </c>
    </row>
    <row r="4" spans="1:4">
      <c r="A4" s="312">
        <v>2017</v>
      </c>
      <c r="B4" s="313">
        <v>4306</v>
      </c>
      <c r="C4" s="155">
        <v>5415</v>
      </c>
      <c r="D4" s="155">
        <v>3627</v>
      </c>
    </row>
    <row r="5" spans="1:4">
      <c r="A5" s="314">
        <v>2018</v>
      </c>
      <c r="B5" s="313">
        <v>5813</v>
      </c>
      <c r="C5" s="155">
        <v>6618</v>
      </c>
      <c r="D5" s="155">
        <v>5295</v>
      </c>
    </row>
    <row r="6" spans="1:4">
      <c r="A6" s="314">
        <v>2019</v>
      </c>
      <c r="B6" s="313">
        <v>5367</v>
      </c>
      <c r="C6" s="155">
        <v>6284</v>
      </c>
      <c r="D6" s="155">
        <v>4684</v>
      </c>
    </row>
    <row r="7" spans="1:4">
      <c r="A7" s="314">
        <v>2020</v>
      </c>
      <c r="B7" s="313">
        <v>4303</v>
      </c>
      <c r="C7" s="155">
        <v>5144</v>
      </c>
      <c r="D7" s="155">
        <v>3690</v>
      </c>
    </row>
    <row r="8" spans="1:4">
      <c r="A8" s="314">
        <v>2021</v>
      </c>
      <c r="B8" s="313">
        <v>5714</v>
      </c>
      <c r="C8" s="155">
        <v>6424</v>
      </c>
      <c r="D8" s="155">
        <v>5048</v>
      </c>
    </row>
    <row r="9" spans="1:4">
      <c r="A9" s="312">
        <v>2022</v>
      </c>
      <c r="B9" s="155">
        <v>5817.9948000000004</v>
      </c>
      <c r="C9" s="155">
        <v>6532.5655999999999</v>
      </c>
      <c r="D9" s="155">
        <v>5135.3303999999998</v>
      </c>
    </row>
    <row r="10" spans="1:4">
      <c r="A10" s="312">
        <v>2023</v>
      </c>
      <c r="B10" s="155">
        <v>5923.8823053600008</v>
      </c>
      <c r="C10" s="155">
        <v>6642.9659586400003</v>
      </c>
      <c r="D10" s="155">
        <v>5224.1716159199996</v>
      </c>
    </row>
    <row r="11" spans="1:4">
      <c r="A11" s="312">
        <v>2024</v>
      </c>
      <c r="B11" s="155">
        <v>6031.6969633175531</v>
      </c>
      <c r="C11" s="155">
        <v>6755.2320833410158</v>
      </c>
      <c r="D11" s="155">
        <v>5314.5497848754158</v>
      </c>
    </row>
    <row r="12" spans="1:4">
      <c r="A12" s="312">
        <v>2025</v>
      </c>
      <c r="B12" s="155">
        <v>6141.4738480499327</v>
      </c>
      <c r="C12" s="155">
        <v>6869.3955055494789</v>
      </c>
      <c r="D12" s="155">
        <v>5406.4914961537606</v>
      </c>
    </row>
    <row r="13" spans="1:4">
      <c r="A13" s="312">
        <v>2026</v>
      </c>
      <c r="B13" s="155">
        <v>6253.2486720844418</v>
      </c>
      <c r="C13" s="155">
        <v>6985.4882895932651</v>
      </c>
      <c r="D13" s="155">
        <v>5500.0237990372207</v>
      </c>
    </row>
    <row r="14" spans="1:4">
      <c r="A14" s="312">
        <v>2027</v>
      </c>
      <c r="B14" s="155">
        <v>6367.0577979163781</v>
      </c>
      <c r="C14" s="155">
        <v>7103.5430416873915</v>
      </c>
      <c r="D14" s="155">
        <v>5595.1742107605642</v>
      </c>
    </row>
    <row r="15" spans="1:4">
      <c r="A15" s="312">
        <v>2028</v>
      </c>
      <c r="B15" s="155">
        <v>6482.9382498384566</v>
      </c>
      <c r="C15" s="155">
        <v>7223.5929190919087</v>
      </c>
      <c r="D15" s="155">
        <v>5691.9707246067219</v>
      </c>
    </row>
    <row r="16" spans="1:4">
      <c r="A16" s="312">
        <v>2029</v>
      </c>
      <c r="B16" s="155">
        <v>6600.9277259855162</v>
      </c>
      <c r="C16" s="155">
        <v>7345.6716394245623</v>
      </c>
      <c r="D16" s="155">
        <v>5790.441818142418</v>
      </c>
    </row>
    <row r="17" spans="1:4">
      <c r="A17" s="315">
        <v>2030</v>
      </c>
      <c r="B17" s="155">
        <v>6721.0646105984524</v>
      </c>
      <c r="C17" s="155">
        <v>7469.8134901308376</v>
      </c>
      <c r="D17" s="155">
        <v>5890.6164615962816</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EFB9F-1BD7-47CD-9943-449144AF6470}">
  <dimension ref="A1:D17"/>
  <sheetViews>
    <sheetView showGridLines="0" workbookViewId="0">
      <selection activeCell="D12" sqref="D12"/>
    </sheetView>
  </sheetViews>
  <sheetFormatPr defaultRowHeight="15"/>
  <cols>
    <col min="1" max="1" width="6.42578125" style="205" bestFit="1" customWidth="1"/>
    <col min="2" max="2" width="30.7109375" style="205" bestFit="1" customWidth="1"/>
    <col min="3" max="3" width="34.85546875" style="205" bestFit="1" customWidth="1"/>
    <col min="4" max="4" width="34.140625" style="205" bestFit="1" customWidth="1"/>
    <col min="5" max="16384" width="9.140625" style="205"/>
  </cols>
  <sheetData>
    <row r="1" spans="1:4">
      <c r="A1" s="323" t="s">
        <v>360</v>
      </c>
      <c r="B1" s="324" t="s">
        <v>385</v>
      </c>
      <c r="C1" s="325" t="s">
        <v>386</v>
      </c>
      <c r="D1" s="325" t="s">
        <v>387</v>
      </c>
    </row>
    <row r="2" spans="1:4">
      <c r="A2" s="312">
        <v>2015</v>
      </c>
      <c r="B2" s="313">
        <v>3611</v>
      </c>
      <c r="C2" s="155">
        <v>4745</v>
      </c>
      <c r="D2" s="155">
        <v>2932</v>
      </c>
    </row>
    <row r="3" spans="1:4">
      <c r="A3" s="312">
        <v>2016</v>
      </c>
      <c r="B3" s="313">
        <v>3736</v>
      </c>
      <c r="C3" s="155">
        <v>4814</v>
      </c>
      <c r="D3" s="155">
        <v>3120</v>
      </c>
    </row>
    <row r="4" spans="1:4">
      <c r="A4" s="312">
        <v>2017</v>
      </c>
      <c r="B4" s="313">
        <v>4203</v>
      </c>
      <c r="C4" s="155">
        <v>5325</v>
      </c>
      <c r="D4" s="155">
        <v>3523</v>
      </c>
    </row>
    <row r="5" spans="1:4">
      <c r="A5" s="314">
        <v>2018</v>
      </c>
      <c r="B5" s="313">
        <v>5319</v>
      </c>
      <c r="C5" s="155">
        <v>6220</v>
      </c>
      <c r="D5" s="155">
        <v>5055</v>
      </c>
    </row>
    <row r="6" spans="1:4">
      <c r="A6" s="314">
        <v>2019</v>
      </c>
      <c r="B6" s="313">
        <v>5266</v>
      </c>
      <c r="C6" s="155">
        <v>6164</v>
      </c>
      <c r="D6" s="155">
        <v>4581</v>
      </c>
    </row>
    <row r="7" spans="1:4">
      <c r="A7" s="314">
        <v>2020</v>
      </c>
      <c r="B7" s="313">
        <v>4180</v>
      </c>
      <c r="C7" s="155">
        <v>4989</v>
      </c>
      <c r="D7" s="155">
        <v>3566</v>
      </c>
    </row>
    <row r="8" spans="1:4">
      <c r="A8" s="314">
        <v>2021</v>
      </c>
      <c r="B8" s="313">
        <v>5569</v>
      </c>
      <c r="C8" s="155">
        <v>6349</v>
      </c>
      <c r="D8" s="155">
        <v>4902</v>
      </c>
    </row>
    <row r="9" spans="1:4">
      <c r="A9" s="312">
        <v>2022</v>
      </c>
      <c r="B9" s="155">
        <v>5663.6729999999998</v>
      </c>
      <c r="C9" s="155">
        <v>6447.4094999999998</v>
      </c>
      <c r="D9" s="155">
        <v>4988.7654000000002</v>
      </c>
    </row>
    <row r="10" spans="1:4">
      <c r="A10" s="312">
        <v>2023</v>
      </c>
      <c r="B10" s="155">
        <v>5759.9554410000001</v>
      </c>
      <c r="C10" s="155">
        <v>6547.3443472499994</v>
      </c>
      <c r="D10" s="155">
        <v>5077.0665475800006</v>
      </c>
    </row>
    <row r="11" spans="1:4">
      <c r="A11" s="312">
        <v>2024</v>
      </c>
      <c r="B11" s="155">
        <v>5857.8746834969998</v>
      </c>
      <c r="C11" s="155">
        <v>6648.8281846323744</v>
      </c>
      <c r="D11" s="155">
        <v>5166.9306254721669</v>
      </c>
    </row>
    <row r="12" spans="1:4">
      <c r="A12" s="312">
        <v>2025</v>
      </c>
      <c r="B12" s="155">
        <v>5957.4585531164485</v>
      </c>
      <c r="C12" s="155">
        <v>6751.8850214941758</v>
      </c>
      <c r="D12" s="155">
        <v>5258.3852975430245</v>
      </c>
    </row>
    <row r="13" spans="1:4">
      <c r="A13" s="312">
        <v>2026</v>
      </c>
      <c r="B13" s="155">
        <v>6058.735348519428</v>
      </c>
      <c r="C13" s="155">
        <v>6856.539239327336</v>
      </c>
      <c r="D13" s="155">
        <v>5351.458717309536</v>
      </c>
    </row>
    <row r="14" spans="1:4">
      <c r="A14" s="312">
        <v>2027</v>
      </c>
      <c r="B14" s="155">
        <v>6161.7338494442583</v>
      </c>
      <c r="C14" s="155">
        <v>6962.81559753691</v>
      </c>
      <c r="D14" s="155">
        <v>5446.179536605915</v>
      </c>
    </row>
    <row r="15" spans="1:4">
      <c r="A15" s="312">
        <v>2028</v>
      </c>
      <c r="B15" s="155">
        <v>6266.4833248848108</v>
      </c>
      <c r="C15" s="155">
        <v>7070.7392392987322</v>
      </c>
      <c r="D15" s="155">
        <v>5542.5769144038395</v>
      </c>
    </row>
    <row r="16" spans="1:4">
      <c r="A16" s="312">
        <v>2029</v>
      </c>
      <c r="B16" s="155">
        <v>6373.0135414078522</v>
      </c>
      <c r="C16" s="155">
        <v>7180.3356975078623</v>
      </c>
      <c r="D16" s="155">
        <v>5640.6805257887872</v>
      </c>
    </row>
    <row r="17" spans="1:4">
      <c r="A17" s="315">
        <v>2030</v>
      </c>
      <c r="B17" s="155">
        <v>6481.3547716117855</v>
      </c>
      <c r="C17" s="155">
        <v>7291.6309008192338</v>
      </c>
      <c r="D17" s="155">
        <v>5740.5205710952487</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D7828-77B7-408B-A46F-1F8D61C04D29}">
  <dimension ref="A1:M9"/>
  <sheetViews>
    <sheetView showGridLines="0" tabSelected="1" workbookViewId="0">
      <selection activeCell="B16" sqref="B16"/>
    </sheetView>
  </sheetViews>
  <sheetFormatPr defaultRowHeight="15"/>
  <cols>
    <col min="2" max="2" width="49.42578125" bestFit="1" customWidth="1"/>
  </cols>
  <sheetData>
    <row r="1" spans="1:13">
      <c r="A1" s="457" t="s">
        <v>327</v>
      </c>
      <c r="B1" s="457"/>
      <c r="C1" s="458" t="s">
        <v>405</v>
      </c>
      <c r="D1" s="458" t="s">
        <v>405</v>
      </c>
      <c r="E1" s="458" t="s">
        <v>406</v>
      </c>
      <c r="F1" s="458" t="s">
        <v>407</v>
      </c>
      <c r="G1" s="458" t="s">
        <v>408</v>
      </c>
      <c r="H1" s="458" t="s">
        <v>409</v>
      </c>
      <c r="I1" s="458" t="s">
        <v>410</v>
      </c>
      <c r="J1" s="458" t="s">
        <v>411</v>
      </c>
      <c r="K1" s="458" t="s">
        <v>412</v>
      </c>
      <c r="L1" s="458" t="s">
        <v>413</v>
      </c>
      <c r="M1" s="458" t="s">
        <v>414</v>
      </c>
    </row>
    <row r="2" spans="1:13">
      <c r="A2" s="63" t="s">
        <v>415</v>
      </c>
      <c r="B2" s="63" t="s">
        <v>416</v>
      </c>
      <c r="C2" s="442">
        <v>74</v>
      </c>
      <c r="D2" s="442">
        <v>84</v>
      </c>
      <c r="E2" s="442">
        <v>84</v>
      </c>
      <c r="F2" s="442">
        <v>106</v>
      </c>
      <c r="G2" s="442">
        <v>136</v>
      </c>
      <c r="H2" s="442">
        <v>176</v>
      </c>
      <c r="I2" s="442">
        <v>176</v>
      </c>
      <c r="J2" s="442">
        <v>176</v>
      </c>
      <c r="K2" s="442">
        <v>176</v>
      </c>
      <c r="L2" s="442">
        <v>235</v>
      </c>
      <c r="M2" s="442">
        <v>235</v>
      </c>
    </row>
    <row r="3" spans="1:13">
      <c r="A3" s="63" t="s">
        <v>415</v>
      </c>
      <c r="B3" s="63" t="s">
        <v>417</v>
      </c>
      <c r="C3" s="442">
        <v>46.760000000000005</v>
      </c>
      <c r="D3" s="442">
        <v>55.66</v>
      </c>
      <c r="E3" s="442">
        <v>68.567999999999998</v>
      </c>
      <c r="F3" s="442">
        <v>89.139999999999986</v>
      </c>
      <c r="G3" s="442">
        <v>89.7</v>
      </c>
      <c r="H3" s="442">
        <v>101.58</v>
      </c>
      <c r="I3" s="442">
        <v>93.86</v>
      </c>
      <c r="J3" s="442">
        <v>112.08000000000001</v>
      </c>
      <c r="K3" s="442">
        <v>141.1</v>
      </c>
      <c r="L3" s="442">
        <v>190</v>
      </c>
      <c r="M3" s="442">
        <v>206.25</v>
      </c>
    </row>
    <row r="4" spans="1:13">
      <c r="A4" s="63" t="s">
        <v>415</v>
      </c>
      <c r="B4" s="63" t="s">
        <v>418</v>
      </c>
      <c r="C4" s="442">
        <v>39.67</v>
      </c>
      <c r="D4" s="442">
        <v>42.06</v>
      </c>
      <c r="E4" s="442">
        <v>37.47</v>
      </c>
      <c r="F4" s="442">
        <v>26.37</v>
      </c>
      <c r="G4" s="442">
        <v>32.049999999999997</v>
      </c>
      <c r="H4" s="442">
        <v>29.81</v>
      </c>
      <c r="I4" s="442">
        <v>31.73</v>
      </c>
      <c r="J4" s="442">
        <v>29.82</v>
      </c>
      <c r="K4" s="444"/>
      <c r="L4" s="445"/>
      <c r="M4" s="446"/>
    </row>
    <row r="5" spans="1:13">
      <c r="A5" s="63" t="s">
        <v>415</v>
      </c>
      <c r="B5" s="63" t="s">
        <v>419</v>
      </c>
      <c r="C5" s="442">
        <v>22.4</v>
      </c>
      <c r="D5" s="442">
        <v>26.37</v>
      </c>
      <c r="E5" s="442">
        <v>28.2</v>
      </c>
      <c r="F5" s="442">
        <v>29.66</v>
      </c>
      <c r="G5" s="442">
        <v>25.47</v>
      </c>
      <c r="H5" s="442">
        <v>19.32</v>
      </c>
      <c r="I5" s="442">
        <v>27.1</v>
      </c>
      <c r="J5" s="442">
        <v>30.44</v>
      </c>
      <c r="K5" s="447"/>
      <c r="L5" s="448"/>
      <c r="M5" s="449"/>
    </row>
    <row r="6" spans="1:13">
      <c r="A6" s="63" t="s">
        <v>415</v>
      </c>
      <c r="B6" s="63" t="s">
        <v>423</v>
      </c>
      <c r="C6" s="442">
        <v>5.2</v>
      </c>
      <c r="D6" s="442">
        <v>5.92</v>
      </c>
      <c r="E6" s="442">
        <v>6.05</v>
      </c>
      <c r="F6" s="442">
        <v>6.2</v>
      </c>
      <c r="G6" s="442">
        <v>6.81</v>
      </c>
      <c r="H6" s="442">
        <v>9.0500000000000007</v>
      </c>
      <c r="I6" s="442">
        <v>9.76</v>
      </c>
      <c r="J6" s="442">
        <v>13.21</v>
      </c>
      <c r="K6" s="450"/>
      <c r="L6" s="451"/>
      <c r="M6" s="452"/>
    </row>
    <row r="7" spans="1:13">
      <c r="A7" s="63" t="s">
        <v>415</v>
      </c>
      <c r="B7" s="63" t="s">
        <v>420</v>
      </c>
      <c r="C7" s="442">
        <v>58.83</v>
      </c>
      <c r="D7" s="442">
        <v>65.429999999999993</v>
      </c>
      <c r="E7" s="442">
        <v>71.787999999999997</v>
      </c>
      <c r="F7" s="442">
        <v>79.649999999999991</v>
      </c>
      <c r="G7" s="442">
        <v>89.47</v>
      </c>
      <c r="H7" s="442">
        <v>103.02</v>
      </c>
      <c r="I7" s="442">
        <v>88.73</v>
      </c>
      <c r="J7" s="442">
        <v>98.25</v>
      </c>
      <c r="K7" s="442">
        <v>108.32062500000001</v>
      </c>
      <c r="L7" s="442">
        <v>129.7012207640625</v>
      </c>
      <c r="M7" s="442">
        <v>200.99326671520666</v>
      </c>
    </row>
    <row r="8" spans="1:13">
      <c r="A8" s="63" t="s">
        <v>415</v>
      </c>
      <c r="B8" s="63" t="s">
        <v>421</v>
      </c>
      <c r="C8" s="443"/>
      <c r="D8" s="456">
        <v>0.11218765935747066</v>
      </c>
      <c r="E8" s="456">
        <v>9.7172550817667736E-2</v>
      </c>
      <c r="F8" s="456">
        <v>0.10951691090432925</v>
      </c>
      <c r="G8" s="456">
        <v>0.12328939108600134</v>
      </c>
      <c r="H8" s="456">
        <v>0.1514474125405163</v>
      </c>
      <c r="I8" s="456">
        <v>-0.13871092991652101</v>
      </c>
      <c r="J8" s="456">
        <v>0.10729178406401441</v>
      </c>
      <c r="K8" s="456">
        <v>0.10249999999999999</v>
      </c>
      <c r="L8" s="456">
        <v>9.35E-2</v>
      </c>
      <c r="M8" s="456">
        <v>9.0300000000000005E-2</v>
      </c>
    </row>
    <row r="9" spans="1:13">
      <c r="A9" s="63" t="s">
        <v>415</v>
      </c>
      <c r="B9" s="63" t="s">
        <v>422</v>
      </c>
      <c r="C9" s="453"/>
      <c r="D9" s="454"/>
      <c r="E9" s="454"/>
      <c r="F9" s="454"/>
      <c r="G9" s="454"/>
      <c r="H9" s="454"/>
      <c r="I9" s="455"/>
      <c r="J9" s="442">
        <v>13.830000000000013</v>
      </c>
      <c r="K9" s="442">
        <v>32.779374999999987</v>
      </c>
      <c r="L9" s="442">
        <v>60.298779235937502</v>
      </c>
      <c r="M9" s="442">
        <v>5.2567332847933415</v>
      </c>
    </row>
  </sheetData>
  <mergeCells count="2">
    <mergeCell ref="K4:M6"/>
    <mergeCell ref="C9:I9"/>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7482E-F184-4120-81F6-13668903C5E2}">
  <dimension ref="A1:D20"/>
  <sheetViews>
    <sheetView showGridLines="0" topLeftCell="A7" workbookViewId="0">
      <selection activeCell="B3" sqref="B3"/>
    </sheetView>
  </sheetViews>
  <sheetFormatPr defaultRowHeight="15"/>
  <cols>
    <col min="1" max="1" width="3" bestFit="1" customWidth="1"/>
    <col min="2" max="2" width="49.7109375" customWidth="1"/>
    <col min="3" max="3" width="11" style="205" customWidth="1"/>
    <col min="4" max="4" width="18.42578125" bestFit="1" customWidth="1"/>
  </cols>
  <sheetData>
    <row r="1" spans="1:4">
      <c r="A1" s="102"/>
      <c r="B1" s="103" t="s">
        <v>12</v>
      </c>
      <c r="C1" s="294"/>
      <c r="D1" s="104" t="s">
        <v>9</v>
      </c>
    </row>
    <row r="2" spans="1:4">
      <c r="A2" s="91" t="s">
        <v>1</v>
      </c>
      <c r="B2" s="90" t="s">
        <v>13</v>
      </c>
      <c r="C2" s="295"/>
      <c r="D2" s="92">
        <f>D12+D3</f>
        <v>35002487.780000001</v>
      </c>
    </row>
    <row r="3" spans="1:4">
      <c r="A3" s="93" t="s">
        <v>14</v>
      </c>
      <c r="B3" s="48" t="s">
        <v>15</v>
      </c>
      <c r="C3" s="296"/>
      <c r="D3" s="94">
        <f>SUM(D4:D11)</f>
        <v>25313507.359999999</v>
      </c>
    </row>
    <row r="4" spans="1:4">
      <c r="A4" s="95">
        <v>1</v>
      </c>
      <c r="B4" s="31" t="s">
        <v>16</v>
      </c>
      <c r="C4" s="179"/>
      <c r="D4" s="96">
        <f>'Equipment List '!M66*10^6</f>
        <v>9318999.9999999981</v>
      </c>
    </row>
    <row r="5" spans="1:4" ht="24">
      <c r="A5" s="95">
        <v>2</v>
      </c>
      <c r="B5" s="31" t="s">
        <v>332</v>
      </c>
      <c r="C5" s="300">
        <f>D5/D$4</f>
        <v>0.32181244017598459</v>
      </c>
      <c r="D5" s="96">
        <v>2998970.13</v>
      </c>
    </row>
    <row r="6" spans="1:4" ht="24">
      <c r="A6" s="95">
        <v>3</v>
      </c>
      <c r="B6" s="31" t="s">
        <v>333</v>
      </c>
      <c r="C6" s="300">
        <f t="shared" ref="C6:C11" si="0">D6/D$4</f>
        <v>0.21454162678398975</v>
      </c>
      <c r="D6" s="96">
        <v>1999313.4200000002</v>
      </c>
    </row>
    <row r="7" spans="1:4" ht="24">
      <c r="A7" s="95">
        <v>4</v>
      </c>
      <c r="B7" s="31" t="s">
        <v>334</v>
      </c>
      <c r="C7" s="300">
        <f t="shared" si="0"/>
        <v>0.25579963193475702</v>
      </c>
      <c r="D7" s="96">
        <v>2383796.77</v>
      </c>
    </row>
    <row r="8" spans="1:4" ht="24">
      <c r="A8" s="95">
        <v>5</v>
      </c>
      <c r="B8" s="31" t="s">
        <v>335</v>
      </c>
      <c r="C8" s="300">
        <f t="shared" si="0"/>
        <v>8.251601030153452E-2</v>
      </c>
      <c r="D8" s="96">
        <v>768966.70000000007</v>
      </c>
    </row>
    <row r="9" spans="1:4">
      <c r="A9" s="95">
        <v>6</v>
      </c>
      <c r="B9" s="31" t="s">
        <v>348</v>
      </c>
      <c r="C9" s="300">
        <f t="shared" si="0"/>
        <v>0.23929642987445007</v>
      </c>
      <c r="D9" s="96">
        <v>2230003.4299999997</v>
      </c>
    </row>
    <row r="10" spans="1:4" ht="24">
      <c r="A10" s="95">
        <v>7</v>
      </c>
      <c r="B10" s="31" t="s">
        <v>336</v>
      </c>
      <c r="C10" s="300">
        <f t="shared" si="0"/>
        <v>0.4538380566584399</v>
      </c>
      <c r="D10" s="96">
        <v>4229316.8500000006</v>
      </c>
    </row>
    <row r="11" spans="1:4">
      <c r="A11" s="95">
        <v>8</v>
      </c>
      <c r="B11" s="31" t="s">
        <v>349</v>
      </c>
      <c r="C11" s="300">
        <f t="shared" si="0"/>
        <v>0.14852881854276215</v>
      </c>
      <c r="D11" s="96">
        <v>1384140.06</v>
      </c>
    </row>
    <row r="12" spans="1:4" ht="24">
      <c r="A12" s="97" t="s">
        <v>17</v>
      </c>
      <c r="B12" s="49" t="s">
        <v>18</v>
      </c>
      <c r="C12" s="297"/>
      <c r="D12" s="98">
        <f>SUM(D13:D17)</f>
        <v>9688980.4200000018</v>
      </c>
    </row>
    <row r="13" spans="1:4" ht="24">
      <c r="A13" s="95">
        <v>9</v>
      </c>
      <c r="B13" s="31" t="s">
        <v>337</v>
      </c>
      <c r="C13" s="299">
        <f>D13/$D$4</f>
        <v>0.26405123296491045</v>
      </c>
      <c r="D13" s="96">
        <v>2460693.44</v>
      </c>
    </row>
    <row r="14" spans="1:4" ht="24">
      <c r="A14" s="95">
        <v>10</v>
      </c>
      <c r="B14" s="31" t="s">
        <v>338</v>
      </c>
      <c r="C14" s="299">
        <f t="shared" ref="C14:C16" si="1">D14/$D$4</f>
        <v>0.28055443502521737</v>
      </c>
      <c r="D14" s="96">
        <v>2614486.7800000003</v>
      </c>
    </row>
    <row r="15" spans="1:4" ht="24">
      <c r="A15" s="95">
        <v>11</v>
      </c>
      <c r="B15" s="31" t="s">
        <v>339</v>
      </c>
      <c r="C15" s="299">
        <f t="shared" si="1"/>
        <v>3.3006404120613807E-2</v>
      </c>
      <c r="D15" s="96">
        <v>307586.68</v>
      </c>
    </row>
    <row r="16" spans="1:4" ht="24">
      <c r="A16" s="95">
        <v>12</v>
      </c>
      <c r="B16" s="31" t="s">
        <v>340</v>
      </c>
      <c r="C16" s="299">
        <f t="shared" si="1"/>
        <v>0.15678041957291558</v>
      </c>
      <c r="D16" s="96">
        <v>1461036.73</v>
      </c>
    </row>
    <row r="17" spans="1:4">
      <c r="A17" s="95">
        <v>13</v>
      </c>
      <c r="B17" s="31" t="s">
        <v>341</v>
      </c>
      <c r="C17" s="299">
        <f>D17/D19</f>
        <v>7.953763220868619E-2</v>
      </c>
      <c r="D17" s="96">
        <v>2845176.79</v>
      </c>
    </row>
    <row r="18" spans="1:4">
      <c r="A18" s="97" t="s">
        <v>2</v>
      </c>
      <c r="B18" s="49" t="s">
        <v>19</v>
      </c>
      <c r="C18" s="301"/>
      <c r="D18" s="98">
        <v>768966.70000000007</v>
      </c>
    </row>
    <row r="19" spans="1:4" ht="15.75" thickBot="1">
      <c r="A19" s="99"/>
      <c r="B19" s="100" t="s">
        <v>221</v>
      </c>
      <c r="C19" s="298"/>
      <c r="D19" s="101">
        <f>D2+D18</f>
        <v>35771454.480000004</v>
      </c>
    </row>
    <row r="20" spans="1:4">
      <c r="A20" s="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8149A-6F29-4A5D-B8D1-14D023BD2332}">
  <dimension ref="A1:Q87"/>
  <sheetViews>
    <sheetView showGridLines="0" topLeftCell="A71" zoomScaleNormal="100" workbookViewId="0">
      <selection activeCell="B81" sqref="B81:B87"/>
    </sheetView>
  </sheetViews>
  <sheetFormatPr defaultRowHeight="15"/>
  <cols>
    <col min="1" max="1" width="4.28515625" bestFit="1" customWidth="1"/>
    <col min="2" max="2" width="85" customWidth="1"/>
    <col min="3" max="3" width="15.85546875" customWidth="1"/>
    <col min="4" max="4" width="20.85546875" customWidth="1"/>
    <col min="5" max="5" width="47.7109375" style="166" customWidth="1"/>
    <col min="6" max="6" width="13.85546875" bestFit="1" customWidth="1"/>
    <col min="7" max="7" width="16.42578125" customWidth="1"/>
    <col min="8" max="8" width="14.7109375" customWidth="1"/>
    <col min="9" max="9" width="14.85546875" customWidth="1"/>
    <col min="10" max="10" width="14.5703125" customWidth="1"/>
    <col min="11" max="11" width="11.85546875" customWidth="1"/>
    <col min="12" max="12" width="12.28515625" customWidth="1"/>
    <col min="13" max="13" width="13.140625" customWidth="1"/>
    <col min="14" max="14" width="12" customWidth="1"/>
    <col min="15" max="15" width="15.7109375" customWidth="1"/>
    <col min="16" max="16" width="14.28515625" customWidth="1"/>
    <col min="17" max="17" width="13.5703125" customWidth="1"/>
  </cols>
  <sheetData>
    <row r="1" spans="1:17">
      <c r="D1" s="174">
        <v>2021</v>
      </c>
      <c r="E1" s="218" t="s">
        <v>81</v>
      </c>
      <c r="F1" s="174">
        <v>2022</v>
      </c>
      <c r="G1" s="174">
        <v>2023</v>
      </c>
      <c r="H1" s="174">
        <v>2024</v>
      </c>
      <c r="I1" s="174">
        <v>2025</v>
      </c>
      <c r="J1" s="174">
        <v>2026</v>
      </c>
      <c r="K1" s="174">
        <v>2027</v>
      </c>
      <c r="L1" s="174">
        <v>2028</v>
      </c>
      <c r="M1" s="174">
        <v>2029</v>
      </c>
      <c r="N1" s="174">
        <v>2030</v>
      </c>
      <c r="O1" s="174">
        <v>2031</v>
      </c>
      <c r="P1" s="174">
        <v>2032</v>
      </c>
      <c r="Q1" s="174">
        <v>2033</v>
      </c>
    </row>
    <row r="2" spans="1:17" ht="15.75" thickBot="1">
      <c r="A2" s="349" t="s">
        <v>325</v>
      </c>
      <c r="B2" s="349"/>
      <c r="C2" s="349"/>
      <c r="D2" s="349"/>
      <c r="E2" s="349"/>
    </row>
    <row r="3" spans="1:17">
      <c r="A3" s="109"/>
      <c r="B3" s="110" t="s">
        <v>241</v>
      </c>
      <c r="C3" s="111"/>
      <c r="D3" s="200" t="s">
        <v>9</v>
      </c>
      <c r="E3" s="219"/>
    </row>
    <row r="4" spans="1:17">
      <c r="A4" s="113" t="s">
        <v>3</v>
      </c>
      <c r="B4" s="87" t="s">
        <v>20</v>
      </c>
      <c r="C4" s="86"/>
      <c r="D4" s="199">
        <f>+D5+D8+D10+D13</f>
        <v>125738072.84390953</v>
      </c>
      <c r="E4" s="220"/>
      <c r="F4" s="201">
        <f>F5+F6</f>
        <v>117857740</v>
      </c>
      <c r="G4" s="185">
        <f t="shared" ref="G4:N4" si="0">G5+G6</f>
        <v>119625606.09999999</v>
      </c>
      <c r="H4" s="185">
        <f t="shared" si="0"/>
        <v>121419990.19149999</v>
      </c>
      <c r="I4" s="185">
        <f t="shared" si="0"/>
        <v>123241290.0443725</v>
      </c>
      <c r="J4" s="185">
        <f t="shared" si="0"/>
        <v>125089909.39503808</v>
      </c>
      <c r="K4" s="185">
        <f t="shared" si="0"/>
        <v>126966258.03596365</v>
      </c>
      <c r="L4" s="185">
        <f t="shared" si="0"/>
        <v>128870751.9065031</v>
      </c>
      <c r="M4" s="185">
        <f t="shared" si="0"/>
        <v>130803813.18510064</v>
      </c>
      <c r="N4" s="185">
        <f t="shared" si="0"/>
        <v>132765870.38287717</v>
      </c>
      <c r="O4" s="185">
        <f t="shared" ref="O4" si="1">O5+O6</f>
        <v>134757358.43862033</v>
      </c>
      <c r="P4" s="185">
        <f t="shared" ref="P4" si="2">P5+P6</f>
        <v>136778718.81519961</v>
      </c>
      <c r="Q4" s="185">
        <f t="shared" ref="Q4" si="3">Q5+Q6</f>
        <v>138830399.59742761</v>
      </c>
    </row>
    <row r="5" spans="1:17">
      <c r="A5" s="115" t="s">
        <v>10</v>
      </c>
      <c r="B5" s="105" t="s">
        <v>169</v>
      </c>
      <c r="C5" s="106"/>
      <c r="D5" s="175">
        <f>D6+D7</f>
        <v>116116000</v>
      </c>
      <c r="E5" s="221"/>
      <c r="F5" s="202">
        <f>D6+D6*1.5%</f>
        <v>102226740</v>
      </c>
      <c r="G5" s="124">
        <f t="shared" ref="G5:Q6" si="4">F5+F5*1.5%</f>
        <v>103760141.09999999</v>
      </c>
      <c r="H5" s="124">
        <f t="shared" si="4"/>
        <v>105316543.2165</v>
      </c>
      <c r="I5" s="124">
        <f t="shared" si="4"/>
        <v>106896291.36474749</v>
      </c>
      <c r="J5" s="124">
        <f t="shared" si="4"/>
        <v>108499735.7352187</v>
      </c>
      <c r="K5" s="124">
        <f t="shared" si="4"/>
        <v>110127231.77124698</v>
      </c>
      <c r="L5" s="124">
        <f t="shared" si="4"/>
        <v>111779140.24781568</v>
      </c>
      <c r="M5" s="124">
        <f t="shared" si="4"/>
        <v>113455827.35153292</v>
      </c>
      <c r="N5" s="124">
        <f t="shared" si="4"/>
        <v>115157664.76180592</v>
      </c>
      <c r="O5" s="124">
        <f t="shared" si="4"/>
        <v>116885029.733233</v>
      </c>
      <c r="P5" s="124">
        <f t="shared" si="4"/>
        <v>118638305.17923149</v>
      </c>
      <c r="Q5" s="124">
        <f t="shared" si="4"/>
        <v>120417879.75691997</v>
      </c>
    </row>
    <row r="6" spans="1:17">
      <c r="A6" s="95">
        <v>1</v>
      </c>
      <c r="B6" s="32" t="s">
        <v>169</v>
      </c>
      <c r="C6" s="107" t="s">
        <v>25</v>
      </c>
      <c r="D6" s="176">
        <f>(2289*44000)</f>
        <v>100716000</v>
      </c>
      <c r="E6" s="222"/>
      <c r="F6" s="202">
        <f>D7+D7*1.5%</f>
        <v>15631000</v>
      </c>
      <c r="G6" s="124">
        <f t="shared" si="4"/>
        <v>15865465</v>
      </c>
      <c r="H6" s="124">
        <f t="shared" si="4"/>
        <v>16103446.975</v>
      </c>
      <c r="I6" s="124">
        <f t="shared" si="4"/>
        <v>16344998.679624999</v>
      </c>
      <c r="J6" s="124">
        <f t="shared" si="4"/>
        <v>16590173.659819374</v>
      </c>
      <c r="K6" s="124">
        <f t="shared" si="4"/>
        <v>16839026.264716666</v>
      </c>
      <c r="L6" s="124">
        <f t="shared" si="4"/>
        <v>17091611.658687416</v>
      </c>
      <c r="M6" s="124">
        <f t="shared" si="4"/>
        <v>17347985.833567727</v>
      </c>
      <c r="N6" s="124">
        <f t="shared" si="4"/>
        <v>17608205.621071242</v>
      </c>
      <c r="O6" s="124">
        <f t="shared" si="4"/>
        <v>17872328.705387309</v>
      </c>
      <c r="P6" s="124">
        <f t="shared" si="4"/>
        <v>18140413.635968119</v>
      </c>
      <c r="Q6" s="124">
        <f t="shared" si="4"/>
        <v>18412519.840507641</v>
      </c>
    </row>
    <row r="7" spans="1:17">
      <c r="A7" s="95">
        <v>2</v>
      </c>
      <c r="B7" s="32" t="s">
        <v>181</v>
      </c>
      <c r="C7" s="107"/>
      <c r="D7" s="176">
        <f>350*44000</f>
        <v>15400000</v>
      </c>
      <c r="E7" s="222" t="s">
        <v>256</v>
      </c>
      <c r="F7" s="203">
        <f t="shared" ref="F7:Q7" si="5">F8</f>
        <v>1448228.5714285716</v>
      </c>
      <c r="G7" s="177">
        <f t="shared" si="5"/>
        <v>1564086.8571428573</v>
      </c>
      <c r="H7" s="177">
        <f t="shared" si="5"/>
        <v>1689213.8057142859</v>
      </c>
      <c r="I7" s="177">
        <f t="shared" si="5"/>
        <v>1824350.9101714287</v>
      </c>
      <c r="J7" s="177">
        <f t="shared" si="5"/>
        <v>1970298.9829851431</v>
      </c>
      <c r="K7" s="177">
        <f t="shared" si="5"/>
        <v>2127922.9016239545</v>
      </c>
      <c r="L7" s="177">
        <f t="shared" si="5"/>
        <v>2298156.7337538707</v>
      </c>
      <c r="M7" s="177">
        <f t="shared" si="5"/>
        <v>2482009.2724541803</v>
      </c>
      <c r="N7" s="177">
        <f t="shared" si="5"/>
        <v>2680570.0142505146</v>
      </c>
      <c r="O7" s="177">
        <f t="shared" si="5"/>
        <v>2895015.6153905559</v>
      </c>
      <c r="P7" s="177">
        <f t="shared" si="5"/>
        <v>3126616.8646218004</v>
      </c>
      <c r="Q7" s="177">
        <f t="shared" si="5"/>
        <v>3376746.2137915445</v>
      </c>
    </row>
    <row r="8" spans="1:17">
      <c r="A8" s="115" t="s">
        <v>11</v>
      </c>
      <c r="B8" s="105" t="s">
        <v>120</v>
      </c>
      <c r="C8" s="106"/>
      <c r="D8" s="177">
        <f>D9</f>
        <v>1340952.3809523811</v>
      </c>
      <c r="E8" s="221"/>
      <c r="F8" s="202">
        <f>D9+D9*8%</f>
        <v>1448228.5714285716</v>
      </c>
      <c r="G8" s="124">
        <f t="shared" ref="G8:Q8" si="6">F8+F8*8%</f>
        <v>1564086.8571428573</v>
      </c>
      <c r="H8" s="124">
        <f t="shared" si="6"/>
        <v>1689213.8057142859</v>
      </c>
      <c r="I8" s="124">
        <f t="shared" si="6"/>
        <v>1824350.9101714287</v>
      </c>
      <c r="J8" s="124">
        <f t="shared" si="6"/>
        <v>1970298.9829851431</v>
      </c>
      <c r="K8" s="124">
        <f t="shared" si="6"/>
        <v>2127922.9016239545</v>
      </c>
      <c r="L8" s="124">
        <f t="shared" si="6"/>
        <v>2298156.7337538707</v>
      </c>
      <c r="M8" s="124">
        <f t="shared" si="6"/>
        <v>2482009.2724541803</v>
      </c>
      <c r="N8" s="124">
        <f t="shared" si="6"/>
        <v>2680570.0142505146</v>
      </c>
      <c r="O8" s="124">
        <f t="shared" si="6"/>
        <v>2895015.6153905559</v>
      </c>
      <c r="P8" s="124">
        <f t="shared" si="6"/>
        <v>3126616.8646218004</v>
      </c>
      <c r="Q8" s="124">
        <f t="shared" si="6"/>
        <v>3376746.2137915445</v>
      </c>
    </row>
    <row r="9" spans="1:17">
      <c r="A9" s="95">
        <v>3</v>
      </c>
      <c r="B9" s="32" t="s">
        <v>184</v>
      </c>
      <c r="C9" s="107" t="s">
        <v>25</v>
      </c>
      <c r="D9" s="176">
        <f>('Salary and Wages Estimation'!D11*10^6)*44000/84000</f>
        <v>1340952.3809523811</v>
      </c>
      <c r="E9" s="222" t="s">
        <v>267</v>
      </c>
      <c r="F9" s="252"/>
      <c r="G9" s="252"/>
      <c r="H9" s="252"/>
      <c r="I9" s="252"/>
      <c r="J9" s="252"/>
      <c r="K9" s="252"/>
      <c r="L9" s="252"/>
      <c r="M9" s="252"/>
      <c r="N9" s="252"/>
      <c r="O9" s="252"/>
      <c r="P9" s="252"/>
      <c r="Q9" s="252"/>
    </row>
    <row r="10" spans="1:17">
      <c r="A10" s="115" t="s">
        <v>33</v>
      </c>
      <c r="B10" s="105" t="s">
        <v>160</v>
      </c>
      <c r="C10" s="106"/>
      <c r="D10" s="178">
        <f>D11+D12</f>
        <v>6817521.2976190476</v>
      </c>
      <c r="E10" s="221"/>
      <c r="F10" s="252"/>
      <c r="G10" s="252"/>
      <c r="H10" s="252"/>
      <c r="I10" s="252"/>
      <c r="J10" s="252"/>
      <c r="K10" s="252"/>
      <c r="L10" s="252"/>
      <c r="M10" s="252"/>
      <c r="N10" s="252"/>
      <c r="O10" s="252"/>
      <c r="P10" s="252"/>
      <c r="Q10" s="252"/>
    </row>
    <row r="11" spans="1:17">
      <c r="A11" s="116">
        <v>4</v>
      </c>
      <c r="B11" s="32" t="s">
        <v>269</v>
      </c>
      <c r="C11" s="250">
        <v>97.45</v>
      </c>
      <c r="D11" s="249">
        <f>C11*44000</f>
        <v>4287800</v>
      </c>
      <c r="E11" s="223" t="s">
        <v>351</v>
      </c>
      <c r="F11" s="252"/>
      <c r="G11" s="252"/>
      <c r="H11" s="252"/>
      <c r="I11" s="252"/>
      <c r="J11" s="252"/>
      <c r="K11" s="252"/>
      <c r="L11" s="252"/>
      <c r="M11" s="252"/>
      <c r="N11" s="252"/>
      <c r="O11" s="252"/>
      <c r="P11" s="252"/>
      <c r="Q11" s="252"/>
    </row>
    <row r="12" spans="1:17">
      <c r="A12" s="95">
        <v>5</v>
      </c>
      <c r="B12" s="32" t="s">
        <v>180</v>
      </c>
      <c r="C12" s="176">
        <v>4829467.9318181816</v>
      </c>
      <c r="D12" s="176">
        <f>C12*44000/84000</f>
        <v>2529721.2976190476</v>
      </c>
      <c r="E12" s="222" t="s">
        <v>270</v>
      </c>
      <c r="F12" s="252"/>
      <c r="G12" s="252"/>
      <c r="H12" s="252"/>
      <c r="I12" s="252"/>
      <c r="J12" s="252"/>
      <c r="K12" s="252"/>
      <c r="L12" s="252"/>
      <c r="M12" s="252"/>
      <c r="N12" s="252"/>
      <c r="O12" s="252"/>
      <c r="P12" s="252"/>
      <c r="Q12" s="252"/>
    </row>
    <row r="13" spans="1:17">
      <c r="A13" s="115" t="s">
        <v>170</v>
      </c>
      <c r="B13" s="105" t="s">
        <v>161</v>
      </c>
      <c r="C13" s="106"/>
      <c r="D13" s="178">
        <f>SUM(D14:D16)</f>
        <v>1463599.1653380955</v>
      </c>
      <c r="E13" s="221"/>
      <c r="F13" s="252"/>
      <c r="G13" s="252"/>
      <c r="H13" s="252"/>
      <c r="I13" s="252"/>
      <c r="J13" s="252"/>
      <c r="K13" s="252"/>
      <c r="L13" s="252"/>
      <c r="M13" s="252"/>
      <c r="N13" s="252"/>
      <c r="O13" s="252"/>
      <c r="P13" s="252"/>
      <c r="Q13" s="252"/>
    </row>
    <row r="14" spans="1:17">
      <c r="A14" s="95">
        <v>6</v>
      </c>
      <c r="B14" s="120" t="s">
        <v>186</v>
      </c>
      <c r="C14" s="121">
        <v>2.5000000000000001E-2</v>
      </c>
      <c r="D14" s="176">
        <f>Capex!D19*'Opex Segmental(84 KTPA)'!C14*44000/84000</f>
        <v>468435.71342857153</v>
      </c>
      <c r="E14" s="222"/>
      <c r="F14" s="252"/>
      <c r="G14" s="252"/>
      <c r="H14" s="252"/>
      <c r="I14" s="252"/>
      <c r="J14" s="252"/>
      <c r="K14" s="252"/>
      <c r="L14" s="252"/>
      <c r="M14" s="252"/>
      <c r="N14" s="252"/>
      <c r="O14" s="252"/>
      <c r="P14" s="252"/>
      <c r="Q14" s="252"/>
    </row>
    <row r="15" spans="1:17">
      <c r="A15" s="95">
        <v>7</v>
      </c>
      <c r="B15" s="120" t="s">
        <v>276</v>
      </c>
      <c r="C15" s="121">
        <v>0.45</v>
      </c>
      <c r="D15" s="176">
        <f>(D9+D14)*C15</f>
        <v>814224.64247142873</v>
      </c>
      <c r="E15" s="222"/>
      <c r="F15" s="252"/>
      <c r="G15" s="252"/>
      <c r="H15" s="252"/>
      <c r="I15" s="252"/>
      <c r="J15" s="252"/>
      <c r="K15" s="252"/>
      <c r="L15" s="252"/>
      <c r="M15" s="252"/>
      <c r="N15" s="252"/>
      <c r="O15" s="252"/>
      <c r="P15" s="252"/>
      <c r="Q15" s="252"/>
    </row>
    <row r="16" spans="1:17">
      <c r="A16" s="95">
        <v>8</v>
      </c>
      <c r="B16" s="120" t="s">
        <v>277</v>
      </c>
      <c r="C16" s="121">
        <v>0.1</v>
      </c>
      <c r="D16" s="182">
        <f>(D9+D14)*C16</f>
        <v>180938.80943809528</v>
      </c>
      <c r="E16" s="222"/>
      <c r="F16" s="252"/>
      <c r="G16" s="217">
        <f>F16/44000</f>
        <v>0</v>
      </c>
      <c r="H16" s="205"/>
      <c r="I16" s="205"/>
    </row>
    <row r="17" spans="1:17">
      <c r="A17" s="115" t="s">
        <v>4</v>
      </c>
      <c r="B17" s="122" t="s">
        <v>162</v>
      </c>
      <c r="C17" s="123"/>
      <c r="D17" s="178">
        <f>SUM(D18:D19)</f>
        <v>15088568.741269145</v>
      </c>
      <c r="E17" s="221"/>
      <c r="G17" s="205"/>
      <c r="H17" s="205"/>
      <c r="I17" s="205"/>
    </row>
    <row r="18" spans="1:17">
      <c r="A18" s="95">
        <v>9</v>
      </c>
      <c r="B18" s="120" t="s">
        <v>185</v>
      </c>
      <c r="C18" s="121">
        <v>0.1</v>
      </c>
      <c r="D18" s="176">
        <f>D4*C18</f>
        <v>12573807.284390954</v>
      </c>
      <c r="E18" s="222"/>
      <c r="G18" s="205"/>
      <c r="H18" s="205"/>
      <c r="I18" s="205"/>
    </row>
    <row r="19" spans="1:17">
      <c r="A19" s="95">
        <v>10</v>
      </c>
      <c r="B19" s="120" t="s">
        <v>182</v>
      </c>
      <c r="C19" s="121">
        <v>0.02</v>
      </c>
      <c r="D19" s="176">
        <f>D4*C19</f>
        <v>2514761.4568781909</v>
      </c>
      <c r="E19" s="222"/>
      <c r="G19" s="205"/>
      <c r="H19" s="205"/>
      <c r="I19" s="205"/>
    </row>
    <row r="20" spans="1:17">
      <c r="A20" s="209"/>
      <c r="B20" s="210" t="s">
        <v>171</v>
      </c>
      <c r="C20" s="211"/>
      <c r="D20" s="212">
        <f>D17+D4</f>
        <v>140826641.58517867</v>
      </c>
      <c r="E20" s="224"/>
      <c r="G20" s="205"/>
      <c r="H20" s="205"/>
      <c r="I20" s="205"/>
    </row>
    <row r="21" spans="1:17">
      <c r="A21" s="350" t="s">
        <v>278</v>
      </c>
      <c r="B21" s="350"/>
      <c r="C21" s="350"/>
      <c r="D21" s="350"/>
      <c r="E21" s="213">
        <f>D20/44000</f>
        <v>3200.6054905722426</v>
      </c>
      <c r="G21" s="205"/>
      <c r="H21" s="205"/>
      <c r="I21" s="205"/>
    </row>
    <row r="22" spans="1:17" ht="15.75" thickBot="1">
      <c r="A22" s="349" t="s">
        <v>324</v>
      </c>
      <c r="B22" s="349"/>
      <c r="C22" s="349"/>
      <c r="D22" s="349"/>
      <c r="E22" s="349"/>
      <c r="G22" s="205"/>
      <c r="H22" s="205"/>
      <c r="I22" s="205"/>
    </row>
    <row r="23" spans="1:17">
      <c r="A23" s="109"/>
      <c r="B23" s="110" t="s">
        <v>239</v>
      </c>
      <c r="C23" s="111"/>
      <c r="D23" s="200" t="s">
        <v>9</v>
      </c>
      <c r="E23" s="219"/>
    </row>
    <row r="24" spans="1:17">
      <c r="A24" s="113" t="s">
        <v>3</v>
      </c>
      <c r="B24" s="87" t="s">
        <v>20</v>
      </c>
      <c r="C24" s="86"/>
      <c r="D24" s="199">
        <f>+D25+D28+D30+D33</f>
        <v>53827669.474504322</v>
      </c>
      <c r="E24" s="220"/>
    </row>
    <row r="25" spans="1:17">
      <c r="A25" s="115" t="s">
        <v>10</v>
      </c>
      <c r="B25" s="105" t="s">
        <v>169</v>
      </c>
      <c r="C25" s="106"/>
      <c r="D25" s="175">
        <f>D26+D27</f>
        <v>49500000</v>
      </c>
      <c r="E25" s="221"/>
      <c r="F25" s="201">
        <f>F26+F27</f>
        <v>50242500</v>
      </c>
      <c r="G25" s="185">
        <f t="shared" ref="G25:Q25" si="7">G26+G27</f>
        <v>50996137.5</v>
      </c>
      <c r="H25" s="185">
        <f t="shared" si="7"/>
        <v>51761079.5625</v>
      </c>
      <c r="I25" s="185">
        <f t="shared" si="7"/>
        <v>52537495.755937494</v>
      </c>
      <c r="J25" s="185">
        <f t="shared" si="7"/>
        <v>53325558.19227656</v>
      </c>
      <c r="K25" s="185">
        <f t="shared" si="7"/>
        <v>54125441.565160699</v>
      </c>
      <c r="L25" s="185">
        <f t="shared" si="7"/>
        <v>54937323.188638113</v>
      </c>
      <c r="M25" s="185">
        <f t="shared" si="7"/>
        <v>55761383.036467686</v>
      </c>
      <c r="N25" s="185">
        <f t="shared" si="7"/>
        <v>56597803.782014705</v>
      </c>
      <c r="O25" s="185">
        <f t="shared" si="7"/>
        <v>57446770.838744923</v>
      </c>
      <c r="P25" s="185">
        <f t="shared" si="7"/>
        <v>58308472.401326098</v>
      </c>
      <c r="Q25" s="185">
        <f t="shared" si="7"/>
        <v>59183099.487345994</v>
      </c>
    </row>
    <row r="26" spans="1:17">
      <c r="A26" s="95">
        <v>1</v>
      </c>
      <c r="B26" s="32" t="s">
        <v>169</v>
      </c>
      <c r="C26" s="107" t="s">
        <v>25</v>
      </c>
      <c r="D26" s="176">
        <f>20000*2355</f>
        <v>47100000</v>
      </c>
      <c r="E26" s="222"/>
      <c r="F26" s="202">
        <f>D26+D26*1.5%</f>
        <v>47806500</v>
      </c>
      <c r="G26" s="124">
        <f t="shared" ref="G26:G27" si="8">F26+F26*1.5%</f>
        <v>48523597.5</v>
      </c>
      <c r="H26" s="124">
        <f t="shared" ref="H26:H27" si="9">G26+G26*1.5%</f>
        <v>49251451.462499999</v>
      </c>
      <c r="I26" s="124">
        <f t="shared" ref="I26:I27" si="10">H26+H26*1.5%</f>
        <v>49990223.234437495</v>
      </c>
      <c r="J26" s="124">
        <f t="shared" ref="J26:J27" si="11">I26+I26*1.5%</f>
        <v>50740076.582954057</v>
      </c>
      <c r="K26" s="124">
        <f t="shared" ref="K26:K27" si="12">J26+J26*1.5%</f>
        <v>51501177.731698364</v>
      </c>
      <c r="L26" s="124">
        <f t="shared" ref="L26:L27" si="13">K26+K26*1.5%</f>
        <v>52273695.397673838</v>
      </c>
      <c r="M26" s="124">
        <f t="shared" ref="M26:M27" si="14">L26+L26*1.5%</f>
        <v>53057800.828638949</v>
      </c>
      <c r="N26" s="124">
        <f t="shared" ref="N26:N27" si="15">M26+M26*1.5%</f>
        <v>53853667.841068536</v>
      </c>
      <c r="O26" s="124">
        <f t="shared" ref="O26:O27" si="16">N26+N26*1.5%</f>
        <v>54661472.858684562</v>
      </c>
      <c r="P26" s="124">
        <f t="shared" ref="P26:P27" si="17">O26+O26*1.5%</f>
        <v>55481394.951564834</v>
      </c>
      <c r="Q26" s="124">
        <f t="shared" ref="Q26:Q27" si="18">P26+P26*1.5%</f>
        <v>56313615.87583831</v>
      </c>
    </row>
    <row r="27" spans="1:17">
      <c r="A27" s="95">
        <v>2</v>
      </c>
      <c r="B27" s="32" t="s">
        <v>181</v>
      </c>
      <c r="C27" s="107"/>
      <c r="D27" s="176">
        <f>120*20000</f>
        <v>2400000</v>
      </c>
      <c r="E27" s="222" t="s">
        <v>256</v>
      </c>
      <c r="F27" s="202">
        <f>D27+D27*1.5%</f>
        <v>2436000</v>
      </c>
      <c r="G27" s="124">
        <f t="shared" si="8"/>
        <v>2472540</v>
      </c>
      <c r="H27" s="124">
        <f t="shared" si="9"/>
        <v>2509628.1</v>
      </c>
      <c r="I27" s="124">
        <f t="shared" si="10"/>
        <v>2547272.5215000003</v>
      </c>
      <c r="J27" s="124">
        <f t="shared" si="11"/>
        <v>2585481.6093225004</v>
      </c>
      <c r="K27" s="124">
        <f t="shared" si="12"/>
        <v>2624263.833462338</v>
      </c>
      <c r="L27" s="124">
        <f t="shared" si="13"/>
        <v>2663627.7909642728</v>
      </c>
      <c r="M27" s="124">
        <f t="shared" si="14"/>
        <v>2703582.2078287369</v>
      </c>
      <c r="N27" s="124">
        <f t="shared" si="15"/>
        <v>2744135.9409461678</v>
      </c>
      <c r="O27" s="124">
        <f t="shared" si="16"/>
        <v>2785297.9800603604</v>
      </c>
      <c r="P27" s="124">
        <f t="shared" si="17"/>
        <v>2827077.4497612659</v>
      </c>
      <c r="Q27" s="124">
        <f t="shared" si="18"/>
        <v>2869483.6115076849</v>
      </c>
    </row>
    <row r="28" spans="1:17">
      <c r="A28" s="115" t="s">
        <v>11</v>
      </c>
      <c r="B28" s="105" t="s">
        <v>120</v>
      </c>
      <c r="C28" s="106"/>
      <c r="D28" s="177">
        <f>D29</f>
        <v>609523.80952380947</v>
      </c>
      <c r="E28" s="221"/>
      <c r="F28" s="203">
        <f t="shared" ref="F28:Q28" si="19">F29</f>
        <v>658285.7142857142</v>
      </c>
      <c r="G28" s="177">
        <f t="shared" si="19"/>
        <v>710948.57142857136</v>
      </c>
      <c r="H28" s="177">
        <f t="shared" si="19"/>
        <v>767824.45714285702</v>
      </c>
      <c r="I28" s="177">
        <f t="shared" si="19"/>
        <v>829250.41371428559</v>
      </c>
      <c r="J28" s="177">
        <f t="shared" si="19"/>
        <v>895590.44681142841</v>
      </c>
      <c r="K28" s="177">
        <f t="shared" si="19"/>
        <v>967237.68255634268</v>
      </c>
      <c r="L28" s="177">
        <f t="shared" si="19"/>
        <v>1044616.69716085</v>
      </c>
      <c r="M28" s="177">
        <f t="shared" si="19"/>
        <v>1128186.0329337181</v>
      </c>
      <c r="N28" s="177">
        <f t="shared" si="19"/>
        <v>1218440.9155684155</v>
      </c>
      <c r="O28" s="177">
        <f t="shared" si="19"/>
        <v>1315916.1888138887</v>
      </c>
      <c r="P28" s="177">
        <f t="shared" si="19"/>
        <v>1421189.4839189998</v>
      </c>
      <c r="Q28" s="177">
        <f t="shared" si="19"/>
        <v>1534884.6426325198</v>
      </c>
    </row>
    <row r="29" spans="1:17">
      <c r="A29" s="95">
        <v>3</v>
      </c>
      <c r="B29" s="32" t="s">
        <v>184</v>
      </c>
      <c r="C29" s="107" t="s">
        <v>25</v>
      </c>
      <c r="D29" s="176">
        <f>('Salary and Wages Estimation'!D11*10^6)*20000/84000</f>
        <v>609523.80952380947</v>
      </c>
      <c r="E29" s="222"/>
      <c r="F29" s="202">
        <f>D29+D29*8%</f>
        <v>658285.7142857142</v>
      </c>
      <c r="G29" s="124">
        <f t="shared" ref="G29" si="20">F29+F29*8%</f>
        <v>710948.57142857136</v>
      </c>
      <c r="H29" s="124">
        <f t="shared" ref="H29" si="21">G29+G29*8%</f>
        <v>767824.45714285702</v>
      </c>
      <c r="I29" s="124">
        <f t="shared" ref="I29" si="22">H29+H29*8%</f>
        <v>829250.41371428559</v>
      </c>
      <c r="J29" s="124">
        <f t="shared" ref="J29" si="23">I29+I29*8%</f>
        <v>895590.44681142841</v>
      </c>
      <c r="K29" s="124">
        <f t="shared" ref="K29" si="24">J29+J29*8%</f>
        <v>967237.68255634268</v>
      </c>
      <c r="L29" s="124">
        <f t="shared" ref="L29" si="25">K29+K29*8%</f>
        <v>1044616.69716085</v>
      </c>
      <c r="M29" s="124">
        <f t="shared" ref="M29" si="26">L29+L29*8%</f>
        <v>1128186.0329337181</v>
      </c>
      <c r="N29" s="124">
        <f t="shared" ref="N29" si="27">M29+M29*8%</f>
        <v>1218440.9155684155</v>
      </c>
      <c r="O29" s="124">
        <f t="shared" ref="O29" si="28">N29+N29*8%</f>
        <v>1315916.1888138887</v>
      </c>
      <c r="P29" s="124">
        <f t="shared" ref="P29" si="29">O29+O29*8%</f>
        <v>1421189.4839189998</v>
      </c>
      <c r="Q29" s="124">
        <f t="shared" ref="Q29" si="30">P29+P29*8%</f>
        <v>1534884.6426325198</v>
      </c>
    </row>
    <row r="30" spans="1:17">
      <c r="A30" s="115" t="s">
        <v>33</v>
      </c>
      <c r="B30" s="105" t="s">
        <v>160</v>
      </c>
      <c r="C30" s="106"/>
      <c r="D30" s="178">
        <f>D31+D32</f>
        <v>3052873.317099567</v>
      </c>
      <c r="E30" s="221"/>
    </row>
    <row r="31" spans="1:17">
      <c r="A31" s="116">
        <v>4</v>
      </c>
      <c r="B31" s="32" t="s">
        <v>183</v>
      </c>
      <c r="C31" s="251">
        <v>95.15</v>
      </c>
      <c r="D31" s="179">
        <f>20000*C31</f>
        <v>1903000</v>
      </c>
      <c r="E31" s="223" t="s">
        <v>350</v>
      </c>
    </row>
    <row r="32" spans="1:17">
      <c r="A32" s="95">
        <v>5</v>
      </c>
      <c r="B32" s="32" t="s">
        <v>180</v>
      </c>
      <c r="C32" s="176">
        <v>4829467.9318181816</v>
      </c>
      <c r="D32" s="176">
        <f>C32*20/84</f>
        <v>1149873.317099567</v>
      </c>
      <c r="E32" s="222"/>
      <c r="F32">
        <v>415</v>
      </c>
    </row>
    <row r="33" spans="1:17">
      <c r="A33" s="115" t="s">
        <v>170</v>
      </c>
      <c r="B33" s="105" t="s">
        <v>161</v>
      </c>
      <c r="C33" s="106"/>
      <c r="D33" s="178">
        <f>SUM(D34:D36)</f>
        <v>665272.34788095253</v>
      </c>
      <c r="E33" s="221"/>
      <c r="F33" s="217">
        <f>(D37+D31)/20000</f>
        <v>415.15549502592825</v>
      </c>
    </row>
    <row r="34" spans="1:17">
      <c r="A34" s="95">
        <v>6</v>
      </c>
      <c r="B34" s="120" t="s">
        <v>186</v>
      </c>
      <c r="C34" s="121">
        <v>2.5000000000000001E-2</v>
      </c>
      <c r="D34" s="176">
        <f>Capex!D$19*'Opex Segmental(84 KTPA)'!C34*20000/84000</f>
        <v>212925.32428571433</v>
      </c>
      <c r="E34" s="222"/>
    </row>
    <row r="35" spans="1:17">
      <c r="A35" s="95">
        <v>7</v>
      </c>
      <c r="B35" s="120" t="s">
        <v>276</v>
      </c>
      <c r="C35" s="121">
        <v>0.45</v>
      </c>
      <c r="D35" s="182">
        <f>(D29+D34)*C35</f>
        <v>370102.11021428573</v>
      </c>
      <c r="E35" s="222"/>
    </row>
    <row r="36" spans="1:17">
      <c r="A36" s="95">
        <v>8</v>
      </c>
      <c r="B36" s="120" t="s">
        <v>277</v>
      </c>
      <c r="C36" s="121">
        <v>0.1</v>
      </c>
      <c r="D36" s="182">
        <f>(D29+D34)*C36</f>
        <v>82244.913380952377</v>
      </c>
      <c r="E36" s="222"/>
    </row>
    <row r="37" spans="1:17">
      <c r="A37" s="115" t="s">
        <v>4</v>
      </c>
      <c r="B37" s="122" t="s">
        <v>162</v>
      </c>
      <c r="C37" s="123"/>
      <c r="D37" s="178">
        <f>SUM(D38:D39)</f>
        <v>6400109.9005185645</v>
      </c>
      <c r="E37" s="221"/>
    </row>
    <row r="38" spans="1:17">
      <c r="A38" s="95">
        <v>9</v>
      </c>
      <c r="B38" s="120" t="s">
        <v>185</v>
      </c>
      <c r="C38" s="121">
        <v>9.8900000000000002E-2</v>
      </c>
      <c r="D38" s="176">
        <f>D24*C38</f>
        <v>5323556.5110284779</v>
      </c>
      <c r="E38" s="222"/>
    </row>
    <row r="39" spans="1:17">
      <c r="A39" s="95">
        <v>10</v>
      </c>
      <c r="B39" s="120" t="s">
        <v>182</v>
      </c>
      <c r="C39" s="121">
        <v>0.02</v>
      </c>
      <c r="D39" s="176">
        <f>D24*C39</f>
        <v>1076553.3894900864</v>
      </c>
      <c r="E39" s="222"/>
    </row>
    <row r="40" spans="1:17" ht="15.75" thickBot="1">
      <c r="A40" s="117"/>
      <c r="B40" s="118" t="s">
        <v>171</v>
      </c>
      <c r="C40" s="119"/>
      <c r="D40" s="212">
        <f>D37+D24</f>
        <v>60227779.375022888</v>
      </c>
      <c r="E40" s="225"/>
    </row>
    <row r="41" spans="1:17" s="205" customFormat="1">
      <c r="A41" s="351" t="s">
        <v>278</v>
      </c>
      <c r="B41" s="351"/>
      <c r="C41" s="351"/>
      <c r="D41" s="351"/>
      <c r="E41" s="213">
        <f>D40/20000</f>
        <v>3011.3889687511446</v>
      </c>
    </row>
    <row r="42" spans="1:17">
      <c r="A42" s="349" t="s">
        <v>323</v>
      </c>
      <c r="B42" s="349"/>
      <c r="C42" s="349"/>
      <c r="D42" s="349"/>
      <c r="E42" s="349"/>
    </row>
    <row r="43" spans="1:17">
      <c r="A43" s="226"/>
      <c r="B43" s="227" t="s">
        <v>268</v>
      </c>
      <c r="C43" s="228"/>
      <c r="D43" s="198" t="s">
        <v>9</v>
      </c>
      <c r="E43" s="229"/>
    </row>
    <row r="44" spans="1:17">
      <c r="A44" s="113" t="s">
        <v>3</v>
      </c>
      <c r="B44" s="87" t="s">
        <v>20</v>
      </c>
      <c r="C44" s="86"/>
      <c r="D44" s="199">
        <f>+D45+D48+D50+D53</f>
        <v>16568300.842351299</v>
      </c>
      <c r="E44" s="220"/>
    </row>
    <row r="45" spans="1:17">
      <c r="A45" s="115" t="s">
        <v>10</v>
      </c>
      <c r="B45" s="105" t="s">
        <v>169</v>
      </c>
      <c r="C45" s="106"/>
      <c r="D45" s="175">
        <f>D46+D47</f>
        <v>15270000</v>
      </c>
      <c r="E45" s="221"/>
      <c r="F45" s="201">
        <f>F46+F47</f>
        <v>15499050</v>
      </c>
      <c r="G45" s="185">
        <f t="shared" ref="G45:Q45" si="31">G46+G47</f>
        <v>15731535.75</v>
      </c>
      <c r="H45" s="185">
        <f t="shared" si="31"/>
        <v>15967508.786250001</v>
      </c>
      <c r="I45" s="185">
        <f t="shared" si="31"/>
        <v>16207021.418043749</v>
      </c>
      <c r="J45" s="185">
        <f t="shared" si="31"/>
        <v>16450126.739314407</v>
      </c>
      <c r="K45" s="185">
        <f t="shared" si="31"/>
        <v>16696878.640404124</v>
      </c>
      <c r="L45" s="185">
        <f t="shared" si="31"/>
        <v>16947331.820010185</v>
      </c>
      <c r="M45" s="185">
        <f t="shared" si="31"/>
        <v>17201541.797310337</v>
      </c>
      <c r="N45" s="185">
        <f t="shared" si="31"/>
        <v>17459564.924269993</v>
      </c>
      <c r="O45" s="185">
        <f t="shared" si="31"/>
        <v>17721458.398134045</v>
      </c>
      <c r="P45" s="185">
        <f t="shared" si="31"/>
        <v>17987280.274106055</v>
      </c>
      <c r="Q45" s="185">
        <f t="shared" si="31"/>
        <v>18257089.478217646</v>
      </c>
    </row>
    <row r="46" spans="1:17">
      <c r="A46" s="31">
        <v>1</v>
      </c>
      <c r="B46" s="32" t="s">
        <v>169</v>
      </c>
      <c r="C46" s="107"/>
      <c r="D46" s="176">
        <f>(2420*6000)</f>
        <v>14520000</v>
      </c>
      <c r="E46" s="222"/>
      <c r="F46" s="202">
        <f>D46+D46*1.5%</f>
        <v>14737800</v>
      </c>
      <c r="G46" s="124">
        <f t="shared" ref="G46:G47" si="32">F46+F46*1.5%</f>
        <v>14958867</v>
      </c>
      <c r="H46" s="124">
        <f t="shared" ref="H46:H47" si="33">G46+G46*1.5%</f>
        <v>15183250.005000001</v>
      </c>
      <c r="I46" s="124">
        <f t="shared" ref="I46:I47" si="34">H46+H46*1.5%</f>
        <v>15410998.755075</v>
      </c>
      <c r="J46" s="124">
        <f t="shared" ref="J46:J47" si="35">I46+I46*1.5%</f>
        <v>15642163.736401126</v>
      </c>
      <c r="K46" s="124">
        <f t="shared" ref="K46:K47" si="36">J46+J46*1.5%</f>
        <v>15876796.192447143</v>
      </c>
      <c r="L46" s="124">
        <f t="shared" ref="L46:L47" si="37">K46+K46*1.5%</f>
        <v>16114948.135333849</v>
      </c>
      <c r="M46" s="124">
        <f t="shared" ref="M46:M47" si="38">L46+L46*1.5%</f>
        <v>16356672.357363857</v>
      </c>
      <c r="N46" s="124">
        <f t="shared" ref="N46:N47" si="39">M46+M46*1.5%</f>
        <v>16602022.442724315</v>
      </c>
      <c r="O46" s="124">
        <f t="shared" ref="O46:O47" si="40">N46+N46*1.5%</f>
        <v>16851052.779365182</v>
      </c>
      <c r="P46" s="124">
        <f t="shared" ref="P46:P47" si="41">O46+O46*1.5%</f>
        <v>17103818.571055658</v>
      </c>
      <c r="Q46" s="124">
        <f t="shared" ref="Q46:Q47" si="42">P46+P46*1.5%</f>
        <v>17360375.849621493</v>
      </c>
    </row>
    <row r="47" spans="1:17">
      <c r="A47" s="31">
        <v>2</v>
      </c>
      <c r="B47" s="32" t="s">
        <v>181</v>
      </c>
      <c r="C47" s="107"/>
      <c r="D47" s="176">
        <f>(125*6000)</f>
        <v>750000</v>
      </c>
      <c r="E47" s="222"/>
      <c r="F47" s="202">
        <f>D47+D47*1.5%</f>
        <v>761250</v>
      </c>
      <c r="G47" s="124">
        <f t="shared" si="32"/>
        <v>772668.75</v>
      </c>
      <c r="H47" s="124">
        <f t="shared" si="33"/>
        <v>784258.78125</v>
      </c>
      <c r="I47" s="124">
        <f t="shared" si="34"/>
        <v>796022.66296875</v>
      </c>
      <c r="J47" s="124">
        <f t="shared" si="35"/>
        <v>807963.00291328121</v>
      </c>
      <c r="K47" s="124">
        <f t="shared" si="36"/>
        <v>820082.44795698044</v>
      </c>
      <c r="L47" s="124">
        <f t="shared" si="37"/>
        <v>832383.68467633519</v>
      </c>
      <c r="M47" s="124">
        <f t="shared" si="38"/>
        <v>844869.43994648021</v>
      </c>
      <c r="N47" s="124">
        <f t="shared" si="39"/>
        <v>857542.48154567741</v>
      </c>
      <c r="O47" s="124">
        <f t="shared" si="40"/>
        <v>870405.61876886257</v>
      </c>
      <c r="P47" s="124">
        <f t="shared" si="41"/>
        <v>883461.70305039547</v>
      </c>
      <c r="Q47" s="124">
        <f t="shared" si="42"/>
        <v>896713.62859615136</v>
      </c>
    </row>
    <row r="48" spans="1:17">
      <c r="A48" s="183" t="s">
        <v>11</v>
      </c>
      <c r="B48" s="105" t="s">
        <v>120</v>
      </c>
      <c r="C48" s="106"/>
      <c r="D48" s="178">
        <f>D49</f>
        <v>182857.14285714287</v>
      </c>
      <c r="E48" s="221"/>
      <c r="F48" s="203">
        <f t="shared" ref="F48:Q48" si="43">F49</f>
        <v>197485.71428571429</v>
      </c>
      <c r="G48" s="177">
        <f t="shared" si="43"/>
        <v>213284.57142857142</v>
      </c>
      <c r="H48" s="177">
        <f t="shared" si="43"/>
        <v>230347.33714285714</v>
      </c>
      <c r="I48" s="177">
        <f t="shared" si="43"/>
        <v>248775.12411428572</v>
      </c>
      <c r="J48" s="177">
        <f t="shared" si="43"/>
        <v>268677.13404342858</v>
      </c>
      <c r="K48" s="177">
        <f t="shared" si="43"/>
        <v>290171.30476690287</v>
      </c>
      <c r="L48" s="177">
        <f t="shared" si="43"/>
        <v>313385.00914825511</v>
      </c>
      <c r="M48" s="177">
        <f t="shared" si="43"/>
        <v>338455.8098801155</v>
      </c>
      <c r="N48" s="177">
        <f t="shared" si="43"/>
        <v>365532.27467052476</v>
      </c>
      <c r="O48" s="177">
        <f t="shared" si="43"/>
        <v>394774.85664416675</v>
      </c>
      <c r="P48" s="177">
        <f t="shared" si="43"/>
        <v>426356.84517570009</v>
      </c>
      <c r="Q48" s="177">
        <f t="shared" si="43"/>
        <v>460465.39278975606</v>
      </c>
    </row>
    <row r="49" spans="1:17">
      <c r="A49" s="31">
        <v>3</v>
      </c>
      <c r="B49" s="32" t="s">
        <v>184</v>
      </c>
      <c r="C49" s="107"/>
      <c r="D49" s="176">
        <f>('Salary and Wages Estimation'!D11*10^6)*6000/84000</f>
        <v>182857.14285714287</v>
      </c>
      <c r="E49" s="222"/>
      <c r="F49" s="202">
        <f>D49+D49*8%</f>
        <v>197485.71428571429</v>
      </c>
      <c r="G49" s="124">
        <f t="shared" ref="G49" si="44">F49+F49*8%</f>
        <v>213284.57142857142</v>
      </c>
      <c r="H49" s="124">
        <f t="shared" ref="H49" si="45">G49+G49*8%</f>
        <v>230347.33714285714</v>
      </c>
      <c r="I49" s="124">
        <f t="shared" ref="I49" si="46">H49+H49*8%</f>
        <v>248775.12411428572</v>
      </c>
      <c r="J49" s="124">
        <f t="shared" ref="J49" si="47">I49+I49*8%</f>
        <v>268677.13404342858</v>
      </c>
      <c r="K49" s="124">
        <f t="shared" ref="K49" si="48">J49+J49*8%</f>
        <v>290171.30476690287</v>
      </c>
      <c r="L49" s="124">
        <f t="shared" ref="L49" si="49">K49+K49*8%</f>
        <v>313385.00914825511</v>
      </c>
      <c r="M49" s="124">
        <f t="shared" ref="M49" si="50">L49+L49*8%</f>
        <v>338455.8098801155</v>
      </c>
      <c r="N49" s="124">
        <f t="shared" ref="N49" si="51">M49+M49*8%</f>
        <v>365532.27467052476</v>
      </c>
      <c r="O49" s="124">
        <f t="shared" ref="O49" si="52">N49+N49*8%</f>
        <v>394774.85664416675</v>
      </c>
      <c r="P49" s="124">
        <f t="shared" ref="P49" si="53">O49+O49*8%</f>
        <v>426356.84517570009</v>
      </c>
      <c r="Q49" s="124">
        <f t="shared" ref="Q49" si="54">P49+P49*8%</f>
        <v>460465.39278975606</v>
      </c>
    </row>
    <row r="50" spans="1:17">
      <c r="A50" s="115" t="s">
        <v>33</v>
      </c>
      <c r="B50" s="105" t="s">
        <v>160</v>
      </c>
      <c r="C50" s="106"/>
      <c r="D50" s="178">
        <f>D51+D52</f>
        <v>915861.99512987013</v>
      </c>
      <c r="E50" s="221"/>
    </row>
    <row r="51" spans="1:17">
      <c r="A51" s="116">
        <v>4</v>
      </c>
      <c r="B51" s="32" t="s">
        <v>183</v>
      </c>
      <c r="C51" s="251">
        <v>95.15</v>
      </c>
      <c r="D51" s="179">
        <f>6000*C51</f>
        <v>570900</v>
      </c>
      <c r="E51" s="223" t="s">
        <v>350</v>
      </c>
    </row>
    <row r="52" spans="1:17">
      <c r="A52" s="95">
        <v>5</v>
      </c>
      <c r="B52" s="32" t="s">
        <v>180</v>
      </c>
      <c r="C52" s="176">
        <v>4829467.9318181816</v>
      </c>
      <c r="D52" s="176">
        <f>C52*6/84</f>
        <v>344961.99512987013</v>
      </c>
      <c r="E52" s="222"/>
      <c r="G52" s="217"/>
    </row>
    <row r="53" spans="1:17">
      <c r="A53" s="115" t="s">
        <v>170</v>
      </c>
      <c r="B53" s="105" t="s">
        <v>161</v>
      </c>
      <c r="C53" s="106"/>
      <c r="D53" s="178">
        <f>SUM(D54:D56)</f>
        <v>199581.70436428575</v>
      </c>
      <c r="E53" s="221"/>
    </row>
    <row r="54" spans="1:17">
      <c r="A54" s="95">
        <v>6</v>
      </c>
      <c r="B54" s="120" t="s">
        <v>186</v>
      </c>
      <c r="C54" s="121">
        <v>2.5000000000000001E-2</v>
      </c>
      <c r="D54" s="176">
        <f>Capex!D$19*'Opex Segmental(84 KTPA)'!C54*6000/84000</f>
        <v>63877.597285714299</v>
      </c>
      <c r="E54" s="222"/>
    </row>
    <row r="55" spans="1:17">
      <c r="A55" s="95">
        <v>7</v>
      </c>
      <c r="B55" s="120" t="s">
        <v>276</v>
      </c>
      <c r="C55" s="121">
        <v>0.45</v>
      </c>
      <c r="D55" s="182">
        <f>(D49+D54)*C55</f>
        <v>111030.63306428572</v>
      </c>
      <c r="E55" s="222"/>
    </row>
    <row r="56" spans="1:17">
      <c r="A56" s="95">
        <v>8</v>
      </c>
      <c r="B56" s="120" t="s">
        <v>277</v>
      </c>
      <c r="C56" s="121">
        <v>0.1</v>
      </c>
      <c r="D56" s="182">
        <f>(D49+D54)*C56</f>
        <v>24673.474014285719</v>
      </c>
      <c r="E56" s="222"/>
      <c r="F56" s="217"/>
    </row>
    <row r="57" spans="1:17">
      <c r="A57" s="115" t="s">
        <v>4</v>
      </c>
      <c r="B57" s="122" t="s">
        <v>162</v>
      </c>
      <c r="C57" s="123"/>
      <c r="D57" s="178">
        <f>SUM(D58:D59)</f>
        <v>1918609.2375442805</v>
      </c>
      <c r="E57" s="221"/>
    </row>
    <row r="58" spans="1:17">
      <c r="A58" s="95">
        <v>9</v>
      </c>
      <c r="B58" s="120" t="s">
        <v>185</v>
      </c>
      <c r="C58" s="121">
        <v>9.5799999999999996E-2</v>
      </c>
      <c r="D58" s="176">
        <f>D44*C58</f>
        <v>1587243.2206972544</v>
      </c>
      <c r="E58" s="222"/>
    </row>
    <row r="59" spans="1:17">
      <c r="A59" s="95">
        <v>10</v>
      </c>
      <c r="B59" s="120" t="s">
        <v>182</v>
      </c>
      <c r="C59" s="121">
        <v>0.02</v>
      </c>
      <c r="D59" s="176">
        <f>D44*C59</f>
        <v>331366.01684702601</v>
      </c>
      <c r="E59" s="222"/>
    </row>
    <row r="60" spans="1:17" ht="15.75" thickBot="1">
      <c r="A60" s="117"/>
      <c r="B60" s="215" t="s">
        <v>171</v>
      </c>
      <c r="C60" s="216" t="s">
        <v>245</v>
      </c>
      <c r="D60" s="204">
        <f>D57+D44</f>
        <v>18486910.079895578</v>
      </c>
      <c r="E60" s="204">
        <f>D60/6000</f>
        <v>3081.1516799825963</v>
      </c>
    </row>
    <row r="61" spans="1:17">
      <c r="E61" s="230"/>
    </row>
    <row r="62" spans="1:17" ht="15.75" thickBot="1">
      <c r="A62" s="349" t="s">
        <v>322</v>
      </c>
      <c r="B62" s="349"/>
      <c r="C62" s="349"/>
      <c r="D62" s="349"/>
      <c r="E62" s="349"/>
    </row>
    <row r="63" spans="1:17">
      <c r="A63" s="109"/>
      <c r="B63" s="110" t="s">
        <v>242</v>
      </c>
      <c r="C63" s="111"/>
      <c r="D63" s="200" t="s">
        <v>9</v>
      </c>
      <c r="E63" s="219"/>
    </row>
    <row r="64" spans="1:17">
      <c r="A64" s="113" t="s">
        <v>3</v>
      </c>
      <c r="B64" s="87" t="s">
        <v>20</v>
      </c>
      <c r="C64" s="86"/>
      <c r="D64" s="199">
        <f>+D65+D68+D70+D73</f>
        <v>48101968.632153027</v>
      </c>
      <c r="E64" s="220"/>
    </row>
    <row r="65" spans="1:17">
      <c r="A65" s="183" t="s">
        <v>10</v>
      </c>
      <c r="B65" s="105" t="s">
        <v>169</v>
      </c>
      <c r="C65" s="106"/>
      <c r="D65" s="184">
        <f>D66+D67</f>
        <v>45808000</v>
      </c>
      <c r="E65" s="221"/>
      <c r="F65" s="201">
        <f>F66+F67</f>
        <v>46495120</v>
      </c>
      <c r="G65" s="185">
        <f t="shared" ref="G65:Q65" si="55">G66+G67</f>
        <v>47192546.799999997</v>
      </c>
      <c r="H65" s="185">
        <f t="shared" si="55"/>
        <v>47900435.001999997</v>
      </c>
      <c r="I65" s="185">
        <f t="shared" si="55"/>
        <v>48618941.527029999</v>
      </c>
      <c r="J65" s="185">
        <f t="shared" si="55"/>
        <v>49348225.649935447</v>
      </c>
      <c r="K65" s="185">
        <f t="shared" si="55"/>
        <v>50088449.034684472</v>
      </c>
      <c r="L65" s="185">
        <f t="shared" si="55"/>
        <v>50839775.770204738</v>
      </c>
      <c r="M65" s="185">
        <f t="shared" si="55"/>
        <v>51602372.406757809</v>
      </c>
      <c r="N65" s="185">
        <f t="shared" si="55"/>
        <v>52376407.992859177</v>
      </c>
      <c r="O65" s="185">
        <f t="shared" si="55"/>
        <v>53162054.112752065</v>
      </c>
      <c r="P65" s="185">
        <f t="shared" si="55"/>
        <v>53959484.924443349</v>
      </c>
      <c r="Q65" s="185">
        <f t="shared" si="55"/>
        <v>54768877.198310003</v>
      </c>
    </row>
    <row r="66" spans="1:17">
      <c r="A66" s="31">
        <v>1</v>
      </c>
      <c r="B66" s="32" t="s">
        <v>169</v>
      </c>
      <c r="C66" s="107" t="s">
        <v>25</v>
      </c>
      <c r="D66" s="182">
        <f>(2900*14000)</f>
        <v>40600000</v>
      </c>
      <c r="E66" s="222"/>
      <c r="F66" s="202">
        <f>D66+D66*1.5%</f>
        <v>41209000</v>
      </c>
      <c r="G66" s="124">
        <f t="shared" ref="G66:G67" si="56">F66+F66*1.5%</f>
        <v>41827135</v>
      </c>
      <c r="H66" s="124">
        <f t="shared" ref="H66:H67" si="57">G66+G66*1.5%</f>
        <v>42454542.024999999</v>
      </c>
      <c r="I66" s="124">
        <f t="shared" ref="I66:I67" si="58">H66+H66*1.5%</f>
        <v>43091360.155374996</v>
      </c>
      <c r="J66" s="124">
        <f t="shared" ref="J66:J67" si="59">I66+I66*1.5%</f>
        <v>43737730.557705618</v>
      </c>
      <c r="K66" s="124">
        <f t="shared" ref="K66:K67" si="60">J66+J66*1.5%</f>
        <v>44393796.5160712</v>
      </c>
      <c r="L66" s="124">
        <f t="shared" ref="L66:L67" si="61">K66+K66*1.5%</f>
        <v>45059703.463812269</v>
      </c>
      <c r="M66" s="124">
        <f t="shared" ref="M66:M67" si="62">L66+L66*1.5%</f>
        <v>45735599.015769452</v>
      </c>
      <c r="N66" s="124">
        <f t="shared" ref="N66:N67" si="63">M66+M66*1.5%</f>
        <v>46421633.001005992</v>
      </c>
      <c r="O66" s="124">
        <f t="shared" ref="O66:O67" si="64">N66+N66*1.5%</f>
        <v>47117957.496021084</v>
      </c>
      <c r="P66" s="124">
        <f t="shared" ref="P66:P67" si="65">O66+O66*1.5%</f>
        <v>47824726.858461402</v>
      </c>
      <c r="Q66" s="124">
        <f t="shared" ref="Q66:Q67" si="66">P66+P66*1.5%</f>
        <v>48542097.761338323</v>
      </c>
    </row>
    <row r="67" spans="1:17">
      <c r="A67" s="31">
        <v>2</v>
      </c>
      <c r="B67" s="32" t="s">
        <v>181</v>
      </c>
      <c r="C67" s="107"/>
      <c r="D67" s="182">
        <f>(372*14000)</f>
        <v>5208000</v>
      </c>
      <c r="E67" s="222"/>
      <c r="F67" s="202">
        <f>D67+D67*1.5%</f>
        <v>5286120</v>
      </c>
      <c r="G67" s="124">
        <f t="shared" si="56"/>
        <v>5365411.8</v>
      </c>
      <c r="H67" s="124">
        <f t="shared" si="57"/>
        <v>5445892.977</v>
      </c>
      <c r="I67" s="124">
        <f t="shared" si="58"/>
        <v>5527581.3716550004</v>
      </c>
      <c r="J67" s="124">
        <f t="shared" si="59"/>
        <v>5610495.0922298254</v>
      </c>
      <c r="K67" s="124">
        <f t="shared" si="60"/>
        <v>5694652.5186132733</v>
      </c>
      <c r="L67" s="124">
        <f t="shared" si="61"/>
        <v>5780072.3063924722</v>
      </c>
      <c r="M67" s="124">
        <f t="shared" si="62"/>
        <v>5866773.3909883592</v>
      </c>
      <c r="N67" s="124">
        <f t="shared" si="63"/>
        <v>5954774.991853185</v>
      </c>
      <c r="O67" s="124">
        <f t="shared" si="64"/>
        <v>6044096.6167309824</v>
      </c>
      <c r="P67" s="124">
        <f t="shared" si="65"/>
        <v>6134758.0659819469</v>
      </c>
      <c r="Q67" s="124">
        <f t="shared" si="66"/>
        <v>6226779.4369716765</v>
      </c>
    </row>
    <row r="68" spans="1:17" ht="15.75" customHeight="1">
      <c r="A68" s="183" t="s">
        <v>11</v>
      </c>
      <c r="B68" s="105" t="s">
        <v>120</v>
      </c>
      <c r="C68" s="106"/>
      <c r="D68" s="184">
        <f>D69</f>
        <v>426666.66666666669</v>
      </c>
      <c r="E68" s="221"/>
      <c r="F68" s="203">
        <f t="shared" ref="F68:Q68" si="67">F69</f>
        <v>460800</v>
      </c>
      <c r="G68" s="177">
        <f t="shared" si="67"/>
        <v>497664</v>
      </c>
      <c r="H68" s="177">
        <f t="shared" si="67"/>
        <v>537477.12</v>
      </c>
      <c r="I68" s="177">
        <f t="shared" si="67"/>
        <v>580475.28960000002</v>
      </c>
      <c r="J68" s="177">
        <f t="shared" si="67"/>
        <v>626913.31276800006</v>
      </c>
      <c r="K68" s="177">
        <f t="shared" si="67"/>
        <v>677066.3777894401</v>
      </c>
      <c r="L68" s="177">
        <f t="shared" si="67"/>
        <v>731231.68801259529</v>
      </c>
      <c r="M68" s="177">
        <f t="shared" si="67"/>
        <v>789730.22305360297</v>
      </c>
      <c r="N68" s="177">
        <f t="shared" si="67"/>
        <v>852908.64089789125</v>
      </c>
      <c r="O68" s="177">
        <f t="shared" si="67"/>
        <v>921141.33216972253</v>
      </c>
      <c r="P68" s="177">
        <f t="shared" si="67"/>
        <v>994832.63874330034</v>
      </c>
      <c r="Q68" s="177">
        <f t="shared" si="67"/>
        <v>1074419.2498427643</v>
      </c>
    </row>
    <row r="69" spans="1:17">
      <c r="A69" s="31">
        <v>3</v>
      </c>
      <c r="B69" s="32" t="s">
        <v>184</v>
      </c>
      <c r="C69" s="107" t="s">
        <v>25</v>
      </c>
      <c r="D69" s="182">
        <f>('Salary and Wages Estimation'!D11*10^6)*14000/84000</f>
        <v>426666.66666666669</v>
      </c>
      <c r="E69" s="222"/>
      <c r="F69" s="202">
        <f>D69+D69*8%</f>
        <v>460800</v>
      </c>
      <c r="G69" s="124">
        <f t="shared" ref="G69" si="68">F69+F69*8%</f>
        <v>497664</v>
      </c>
      <c r="H69" s="124">
        <f t="shared" ref="H69" si="69">G69+G69*8%</f>
        <v>537477.12</v>
      </c>
      <c r="I69" s="124">
        <f t="shared" ref="I69" si="70">H69+H69*8%</f>
        <v>580475.28960000002</v>
      </c>
      <c r="J69" s="124">
        <f t="shared" ref="J69" si="71">I69+I69*8%</f>
        <v>626913.31276800006</v>
      </c>
      <c r="K69" s="124">
        <f t="shared" ref="K69" si="72">J69+J69*8%</f>
        <v>677066.3777894401</v>
      </c>
      <c r="L69" s="124">
        <f t="shared" ref="L69" si="73">K69+K69*8%</f>
        <v>731231.68801259529</v>
      </c>
      <c r="M69" s="124">
        <f t="shared" ref="M69" si="74">L69+L69*8%</f>
        <v>789730.22305360297</v>
      </c>
      <c r="N69" s="124">
        <f t="shared" ref="N69" si="75">M69+M69*8%</f>
        <v>852908.64089789125</v>
      </c>
      <c r="O69" s="124">
        <f t="shared" ref="O69" si="76">N69+N69*8%</f>
        <v>921141.33216972253</v>
      </c>
      <c r="P69" s="124">
        <f t="shared" ref="P69" si="77">O69+O69*8%</f>
        <v>994832.63874330034</v>
      </c>
      <c r="Q69" s="124">
        <f t="shared" ref="Q69" si="78">P69+P69*8%</f>
        <v>1074419.2498427643</v>
      </c>
    </row>
    <row r="70" spans="1:17">
      <c r="A70" s="183" t="s">
        <v>33</v>
      </c>
      <c r="B70" s="105" t="s">
        <v>160</v>
      </c>
      <c r="C70" s="106"/>
      <c r="D70" s="184">
        <f>D71+D72</f>
        <v>1401611.3219696968</v>
      </c>
      <c r="E70" s="221"/>
    </row>
    <row r="71" spans="1:17">
      <c r="A71" s="32">
        <v>4</v>
      </c>
      <c r="B71" s="32" t="s">
        <v>183</v>
      </c>
      <c r="C71" s="182">
        <v>99.45</v>
      </c>
      <c r="D71" s="179">
        <f>6000*C71</f>
        <v>596700</v>
      </c>
      <c r="E71" s="223"/>
    </row>
    <row r="72" spans="1:17">
      <c r="A72" s="31">
        <v>5</v>
      </c>
      <c r="B72" s="32" t="s">
        <v>180</v>
      </c>
      <c r="C72" s="182">
        <v>4829467.9318181816</v>
      </c>
      <c r="D72" s="182">
        <f>C72*14000/84000</f>
        <v>804911.3219696969</v>
      </c>
      <c r="E72" s="222"/>
    </row>
    <row r="73" spans="1:17">
      <c r="A73" s="183" t="s">
        <v>170</v>
      </c>
      <c r="B73" s="105" t="s">
        <v>161</v>
      </c>
      <c r="C73" s="106"/>
      <c r="D73" s="184">
        <f>SUM(D74:D76)</f>
        <v>465690.64351666666</v>
      </c>
      <c r="E73" s="221"/>
    </row>
    <row r="74" spans="1:17" ht="15.75" customHeight="1">
      <c r="A74" s="31">
        <v>6</v>
      </c>
      <c r="B74" s="120" t="s">
        <v>186</v>
      </c>
      <c r="C74" s="121">
        <v>2.5000000000000001E-2</v>
      </c>
      <c r="D74" s="182">
        <f>Capex!D$19*'Opex Segmental(84 KTPA)'!C74*14000/84000</f>
        <v>149047.72700000001</v>
      </c>
      <c r="E74" s="222"/>
    </row>
    <row r="75" spans="1:17" ht="15.75" customHeight="1">
      <c r="A75" s="31">
        <v>7</v>
      </c>
      <c r="B75" s="120" t="s">
        <v>276</v>
      </c>
      <c r="C75" s="121">
        <v>0.45</v>
      </c>
      <c r="D75" s="176">
        <f>(D69+D74)*C75</f>
        <v>259071.47715000002</v>
      </c>
      <c r="E75" s="222"/>
      <c r="F75" s="252"/>
    </row>
    <row r="76" spans="1:17">
      <c r="A76" s="31">
        <v>8</v>
      </c>
      <c r="B76" s="120" t="s">
        <v>277</v>
      </c>
      <c r="C76" s="121">
        <v>0.1</v>
      </c>
      <c r="D76" s="182">
        <f>(D69+D74)*C76</f>
        <v>57571.439366666673</v>
      </c>
      <c r="E76" s="222"/>
    </row>
    <row r="77" spans="1:17">
      <c r="A77" s="183" t="s">
        <v>4</v>
      </c>
      <c r="B77" s="122" t="s">
        <v>162</v>
      </c>
      <c r="C77" s="123"/>
      <c r="D77" s="184">
        <f>SUM(D78:D79)</f>
        <v>4872000</v>
      </c>
      <c r="E77" s="221"/>
    </row>
    <row r="78" spans="1:17">
      <c r="A78" s="31">
        <v>9</v>
      </c>
      <c r="B78" s="120" t="s">
        <v>185</v>
      </c>
      <c r="C78" s="121">
        <v>0.1</v>
      </c>
      <c r="D78" s="182">
        <f>D66*C78</f>
        <v>4060000</v>
      </c>
      <c r="E78" s="222"/>
    </row>
    <row r="79" spans="1:17">
      <c r="A79" s="31">
        <v>10</v>
      </c>
      <c r="B79" s="120" t="s">
        <v>182</v>
      </c>
      <c r="C79" s="121">
        <v>0.02</v>
      </c>
      <c r="D79" s="182">
        <f>D66*C79</f>
        <v>812000</v>
      </c>
      <c r="E79" s="222"/>
    </row>
    <row r="80" spans="1:17">
      <c r="A80" s="214"/>
      <c r="B80" s="215" t="s">
        <v>171</v>
      </c>
      <c r="C80" s="216"/>
      <c r="D80" s="204">
        <f>D77+D64</f>
        <v>52973968.632153027</v>
      </c>
      <c r="E80" s="204">
        <f>D80/14000</f>
        <v>3783.8549022966449</v>
      </c>
    </row>
    <row r="81" spans="2:2">
      <c r="B81" s="157" t="s">
        <v>223</v>
      </c>
    </row>
    <row r="82" spans="2:2">
      <c r="B82" s="158" t="s">
        <v>396</v>
      </c>
    </row>
    <row r="83" spans="2:2">
      <c r="B83" s="158" t="s">
        <v>224</v>
      </c>
    </row>
    <row r="84" spans="2:2" ht="25.5">
      <c r="B84" s="158" t="s">
        <v>395</v>
      </c>
    </row>
    <row r="85" spans="2:2" ht="38.25">
      <c r="B85" s="158" t="s">
        <v>397</v>
      </c>
    </row>
    <row r="86" spans="2:2">
      <c r="B86" s="158" t="s">
        <v>398</v>
      </c>
    </row>
    <row r="87" spans="2:2" ht="38.25">
      <c r="B87" s="158" t="s">
        <v>404</v>
      </c>
    </row>
  </sheetData>
  <mergeCells count="6">
    <mergeCell ref="A2:E2"/>
    <mergeCell ref="A62:E62"/>
    <mergeCell ref="A21:D21"/>
    <mergeCell ref="A41:D41"/>
    <mergeCell ref="A42:E42"/>
    <mergeCell ref="A22:E22"/>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EAE11-1321-45BD-9058-32E40861681D}">
  <dimension ref="A1:I24"/>
  <sheetViews>
    <sheetView zoomScale="74" zoomScaleNormal="74" workbookViewId="0">
      <selection activeCell="D11" sqref="D11"/>
    </sheetView>
  </sheetViews>
  <sheetFormatPr defaultRowHeight="15"/>
  <cols>
    <col min="1" max="1" width="11.42578125" customWidth="1"/>
    <col min="2" max="2" width="29.140625" customWidth="1"/>
    <col min="3" max="3" width="16" customWidth="1"/>
    <col min="4" max="4" width="24.42578125" customWidth="1"/>
    <col min="5" max="5" width="12" bestFit="1" customWidth="1"/>
    <col min="6" max="6" width="15" bestFit="1" customWidth="1"/>
    <col min="8" max="8" width="11.140625" bestFit="1" customWidth="1"/>
    <col min="9" max="9" width="13.28515625" bestFit="1" customWidth="1"/>
    <col min="11" max="11" width="12.85546875" bestFit="1" customWidth="1"/>
    <col min="16" max="16" width="12.85546875" bestFit="1" customWidth="1"/>
  </cols>
  <sheetData>
    <row r="1" spans="1:9" ht="15.75" thickBot="1">
      <c r="A1" s="3"/>
      <c r="B1" s="5" t="s">
        <v>12</v>
      </c>
      <c r="C1" s="3"/>
      <c r="D1" s="10" t="s">
        <v>9</v>
      </c>
      <c r="E1" t="s">
        <v>128</v>
      </c>
      <c r="F1" t="s">
        <v>122</v>
      </c>
    </row>
    <row r="2" spans="1:9">
      <c r="A2" s="6" t="s">
        <v>3</v>
      </c>
      <c r="B2" s="7" t="s">
        <v>20</v>
      </c>
      <c r="C2" s="6" t="s">
        <v>21</v>
      </c>
      <c r="D2" s="11">
        <f>D3+D13+D15</f>
        <v>194706132.31518477</v>
      </c>
    </row>
    <row r="3" spans="1:9">
      <c r="A3" s="36" t="s">
        <v>10</v>
      </c>
      <c r="B3" s="37" t="s">
        <v>22</v>
      </c>
      <c r="C3" s="36" t="s">
        <v>23</v>
      </c>
      <c r="D3" s="38">
        <f>SUM(D4:D12)</f>
        <v>193066871.22558478</v>
      </c>
    </row>
    <row r="4" spans="1:9">
      <c r="A4" s="31">
        <v>1</v>
      </c>
      <c r="B4" s="32" t="s">
        <v>24</v>
      </c>
      <c r="C4" s="31" t="s">
        <v>25</v>
      </c>
      <c r="D4" s="39">
        <f>(1950*84000)</f>
        <v>163800000</v>
      </c>
      <c r="E4" t="s">
        <v>121</v>
      </c>
      <c r="F4">
        <f>D4*73.3</f>
        <v>12006540000</v>
      </c>
    </row>
    <row r="5" spans="1:9">
      <c r="A5" s="31">
        <v>2</v>
      </c>
      <c r="B5" s="32" t="s">
        <v>26</v>
      </c>
      <c r="C5" s="31" t="s">
        <v>25</v>
      </c>
      <c r="D5" s="39">
        <f>D4*0.012</f>
        <v>1965600</v>
      </c>
      <c r="E5" t="s">
        <v>120</v>
      </c>
      <c r="F5">
        <f>D5*73.3</f>
        <v>144078480</v>
      </c>
    </row>
    <row r="6" spans="1:9" ht="24">
      <c r="A6" s="31">
        <v>3</v>
      </c>
      <c r="B6" s="32" t="s">
        <v>27</v>
      </c>
      <c r="C6" s="40">
        <v>0.17499999999999999</v>
      </c>
      <c r="D6" s="39">
        <f>D5*C6</f>
        <v>343980</v>
      </c>
      <c r="E6" t="s">
        <v>120</v>
      </c>
      <c r="F6">
        <f t="shared" ref="F6:F20" si="0">D6*73.3</f>
        <v>25213734</v>
      </c>
    </row>
    <row r="7" spans="1:9">
      <c r="A7" s="31">
        <v>4</v>
      </c>
      <c r="B7" s="32" t="s">
        <v>28</v>
      </c>
      <c r="C7" s="31" t="s">
        <v>25</v>
      </c>
      <c r="D7" s="39">
        <v>6027830.8321964536</v>
      </c>
      <c r="E7" t="s">
        <v>111</v>
      </c>
      <c r="F7">
        <f t="shared" si="0"/>
        <v>441840000.00000006</v>
      </c>
    </row>
    <row r="8" spans="1:9" ht="24">
      <c r="A8" s="31">
        <v>5</v>
      </c>
      <c r="B8" s="32" t="s">
        <v>109</v>
      </c>
      <c r="C8" s="40">
        <v>0.05</v>
      </c>
      <c r="D8" s="39">
        <f>Capex!D19*Opex!C8</f>
        <v>1788572.7240000004</v>
      </c>
      <c r="E8" t="s">
        <v>112</v>
      </c>
      <c r="F8">
        <f t="shared" si="0"/>
        <v>131102380.66920002</v>
      </c>
      <c r="G8">
        <f>Capex!D19*5%</f>
        <v>1788572.7240000004</v>
      </c>
    </row>
    <row r="9" spans="1:9" ht="24">
      <c r="A9" s="31">
        <v>6</v>
      </c>
      <c r="B9" s="32" t="s">
        <v>29</v>
      </c>
      <c r="C9" s="40">
        <v>0.15</v>
      </c>
      <c r="D9" s="39">
        <f>D8*C9</f>
        <v>268285.90860000002</v>
      </c>
      <c r="E9" t="s">
        <v>112</v>
      </c>
      <c r="F9">
        <f t="shared" si="0"/>
        <v>19665357.10038</v>
      </c>
    </row>
    <row r="10" spans="1:9" ht="24">
      <c r="A10" s="31">
        <v>7</v>
      </c>
      <c r="B10" s="32" t="s">
        <v>30</v>
      </c>
      <c r="C10" s="40">
        <v>0.15</v>
      </c>
      <c r="D10" s="39">
        <f>C10*D5</f>
        <v>294840</v>
      </c>
      <c r="E10" t="s">
        <v>112</v>
      </c>
      <c r="F10">
        <f t="shared" si="0"/>
        <v>21611772</v>
      </c>
    </row>
    <row r="11" spans="1:9" ht="24">
      <c r="A11" s="31">
        <v>8</v>
      </c>
      <c r="B11" s="32" t="s">
        <v>126</v>
      </c>
      <c r="C11" s="40">
        <v>0.05</v>
      </c>
      <c r="D11" s="39">
        <v>11598197.382196454</v>
      </c>
      <c r="E11" t="s">
        <v>111</v>
      </c>
      <c r="F11">
        <f>D11*73.3</f>
        <v>850147868.11500013</v>
      </c>
    </row>
    <row r="12" spans="1:9" ht="24">
      <c r="A12" s="31">
        <v>9</v>
      </c>
      <c r="B12" s="32" t="s">
        <v>31</v>
      </c>
      <c r="C12" s="40">
        <v>0.04</v>
      </c>
      <c r="D12" s="39">
        <f>C12*(D4+D5+D6+D7+D8+D9+D10)</f>
        <v>6979564.3785918579</v>
      </c>
      <c r="E12" t="s">
        <v>112</v>
      </c>
      <c r="F12">
        <f t="shared" si="0"/>
        <v>511602068.95078313</v>
      </c>
    </row>
    <row r="13" spans="1:9" ht="24">
      <c r="A13" s="36" t="s">
        <v>11</v>
      </c>
      <c r="B13" s="37" t="s">
        <v>32</v>
      </c>
      <c r="C13" s="36">
        <v>9</v>
      </c>
      <c r="D13" s="38">
        <f>SUM(D14:D14)</f>
        <v>0</v>
      </c>
      <c r="F13">
        <f t="shared" si="0"/>
        <v>0</v>
      </c>
    </row>
    <row r="14" spans="1:9">
      <c r="A14" s="31">
        <v>10</v>
      </c>
      <c r="B14" s="32"/>
      <c r="C14" s="40"/>
      <c r="D14" s="39"/>
      <c r="E14" t="s">
        <v>7</v>
      </c>
      <c r="F14">
        <f>D14*73.3</f>
        <v>0</v>
      </c>
    </row>
    <row r="15" spans="1:9" ht="26.25">
      <c r="A15" s="36" t="s">
        <v>33</v>
      </c>
      <c r="B15" s="37" t="s">
        <v>34</v>
      </c>
      <c r="C15" s="41">
        <v>0.4</v>
      </c>
      <c r="D15" s="38">
        <f>C15*(D5+D6+D8)</f>
        <v>1639261.0896000003</v>
      </c>
      <c r="E15" t="s">
        <v>112</v>
      </c>
      <c r="F15">
        <f t="shared" si="0"/>
        <v>120157837.86768001</v>
      </c>
      <c r="I15" s="4"/>
    </row>
    <row r="16" spans="1:9">
      <c r="A16" s="42" t="s">
        <v>4</v>
      </c>
      <c r="B16" s="43" t="s">
        <v>35</v>
      </c>
      <c r="C16" s="42" t="s">
        <v>36</v>
      </c>
      <c r="D16" s="44">
        <f>SUM(D17:D19)</f>
        <v>35661826.725333259</v>
      </c>
      <c r="F16">
        <f t="shared" si="0"/>
        <v>2614011898.9669275</v>
      </c>
    </row>
    <row r="17" spans="1:8" ht="28.5">
      <c r="A17" s="31">
        <v>11</v>
      </c>
      <c r="B17" s="32" t="s">
        <v>37</v>
      </c>
      <c r="C17" s="40">
        <v>0.15</v>
      </c>
      <c r="D17" s="39">
        <f>C17*(D5+D6+D8)</f>
        <v>614722.90860000008</v>
      </c>
      <c r="E17" t="s">
        <v>112</v>
      </c>
      <c r="F17">
        <f t="shared" si="0"/>
        <v>45059189.200380005</v>
      </c>
    </row>
    <row r="18" spans="1:8" ht="24">
      <c r="A18" s="31">
        <v>12</v>
      </c>
      <c r="B18" s="32" t="s">
        <v>38</v>
      </c>
      <c r="C18" s="40">
        <v>0.11</v>
      </c>
      <c r="D18" s="39">
        <f>C18*D2</f>
        <v>21417674.554670326</v>
      </c>
      <c r="E18" t="s">
        <v>111</v>
      </c>
      <c r="F18">
        <f t="shared" si="0"/>
        <v>1569915544.8573349</v>
      </c>
    </row>
    <row r="19" spans="1:8" ht="24">
      <c r="A19" s="31">
        <v>13</v>
      </c>
      <c r="B19" s="32" t="s">
        <v>107</v>
      </c>
      <c r="C19" s="40">
        <v>7.0000000000000007E-2</v>
      </c>
      <c r="D19" s="39">
        <f>C19*D2</f>
        <v>13629429.262062935</v>
      </c>
      <c r="E19" t="s">
        <v>112</v>
      </c>
      <c r="F19">
        <f t="shared" si="0"/>
        <v>999037164.90921307</v>
      </c>
    </row>
    <row r="20" spans="1:8">
      <c r="A20" s="45"/>
      <c r="B20" s="30" t="s">
        <v>39</v>
      </c>
      <c r="C20" s="29" t="s">
        <v>40</v>
      </c>
      <c r="D20" s="46">
        <f>D2+D16</f>
        <v>230367959.04051805</v>
      </c>
      <c r="F20">
        <f t="shared" si="0"/>
        <v>16885971397.669971</v>
      </c>
      <c r="G20">
        <f>D20/84000000</f>
        <v>2.74247570286331</v>
      </c>
      <c r="H20">
        <f>G20*73.3</f>
        <v>201.02346901988062</v>
      </c>
    </row>
    <row r="22" spans="1:8">
      <c r="A22" s="8"/>
      <c r="D22">
        <v>235829630.22656068</v>
      </c>
      <c r="G22">
        <f>D22*73.3/84000000</f>
        <v>205.78942732865352</v>
      </c>
      <c r="H22">
        <f>G22/73.3</f>
        <v>2.8074955979352461</v>
      </c>
    </row>
    <row r="23" spans="1:8">
      <c r="F23">
        <f>5436818</f>
        <v>5436818</v>
      </c>
    </row>
    <row r="24" spans="1:8">
      <c r="D24">
        <f>(D20*73.3)/10000000</f>
        <v>1688.5971397669971</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5E2718-A894-46C9-8AAC-B6F46A09F81E}">
  <dimension ref="A1:P27"/>
  <sheetViews>
    <sheetView showGridLines="0" topLeftCell="A10" workbookViewId="0">
      <selection activeCell="B20" sqref="B20"/>
    </sheetView>
  </sheetViews>
  <sheetFormatPr defaultRowHeight="15"/>
  <cols>
    <col min="1" max="1" width="4.28515625" bestFit="1" customWidth="1"/>
    <col min="2" max="2" width="85" customWidth="1"/>
    <col min="3" max="3" width="15.85546875" customWidth="1"/>
    <col min="4" max="4" width="20.85546875" customWidth="1"/>
    <col min="5" max="5" width="13.85546875" bestFit="1" customWidth="1"/>
    <col min="6" max="6" width="16.42578125" customWidth="1"/>
    <col min="7" max="7" width="14.7109375" customWidth="1"/>
    <col min="8" max="8" width="14.85546875" customWidth="1"/>
    <col min="9" max="9" width="14.5703125" customWidth="1"/>
    <col min="10" max="10" width="11.85546875" customWidth="1"/>
    <col min="11" max="11" width="12.28515625" customWidth="1"/>
    <col min="12" max="12" width="13.140625" customWidth="1"/>
    <col min="13" max="13" width="12" customWidth="1"/>
    <col min="14" max="14" width="15.7109375" customWidth="1"/>
    <col min="15" max="15" width="11.5703125" customWidth="1"/>
    <col min="16" max="16" width="13.5703125" customWidth="1"/>
  </cols>
  <sheetData>
    <row r="1" spans="1:16" ht="15.75" thickBot="1">
      <c r="D1" s="174">
        <v>2021</v>
      </c>
      <c r="E1" s="174">
        <v>2022</v>
      </c>
      <c r="F1" s="174">
        <v>2023</v>
      </c>
      <c r="G1" s="174">
        <v>2024</v>
      </c>
      <c r="H1" s="174">
        <v>2025</v>
      </c>
      <c r="I1" s="174">
        <v>2026</v>
      </c>
      <c r="J1" s="174">
        <v>2027</v>
      </c>
      <c r="K1" s="174">
        <v>2028</v>
      </c>
      <c r="L1" s="174">
        <v>2029</v>
      </c>
      <c r="M1" s="174">
        <v>2030</v>
      </c>
      <c r="N1" s="174">
        <v>2031</v>
      </c>
      <c r="O1" s="174">
        <v>2032</v>
      </c>
      <c r="P1" s="174">
        <v>2033</v>
      </c>
    </row>
    <row r="2" spans="1:16">
      <c r="A2" s="109"/>
      <c r="B2" s="110"/>
      <c r="C2" s="111"/>
      <c r="D2" s="112" t="s">
        <v>9</v>
      </c>
    </row>
    <row r="3" spans="1:16">
      <c r="A3" s="113" t="s">
        <v>3</v>
      </c>
      <c r="B3" s="87" t="s">
        <v>20</v>
      </c>
      <c r="C3" s="86" t="s">
        <v>243</v>
      </c>
      <c r="D3" s="114">
        <f>+D4+D7+D9+D12</f>
        <v>244236011.79291818</v>
      </c>
    </row>
    <row r="4" spans="1:16">
      <c r="A4" s="115" t="s">
        <v>10</v>
      </c>
      <c r="B4" s="105" t="s">
        <v>169</v>
      </c>
      <c r="C4" s="106"/>
      <c r="D4" s="175">
        <f>D5+D6</f>
        <v>226694000</v>
      </c>
      <c r="E4" s="185">
        <f>E5+E6</f>
        <v>230094410</v>
      </c>
      <c r="F4" s="185">
        <f t="shared" ref="F4:P4" si="0">F5+F6</f>
        <v>233545826.15000001</v>
      </c>
      <c r="G4" s="185">
        <f t="shared" si="0"/>
        <v>237049013.54224998</v>
      </c>
      <c r="H4" s="185">
        <f t="shared" si="0"/>
        <v>240604748.74538374</v>
      </c>
      <c r="I4" s="185">
        <f t="shared" si="0"/>
        <v>244213819.9765645</v>
      </c>
      <c r="J4" s="185">
        <f t="shared" si="0"/>
        <v>247877027.27621299</v>
      </c>
      <c r="K4" s="185">
        <f t="shared" si="0"/>
        <v>251595182.68535611</v>
      </c>
      <c r="L4" s="185">
        <f t="shared" si="0"/>
        <v>255369110.42563647</v>
      </c>
      <c r="M4" s="185">
        <f t="shared" si="0"/>
        <v>259199647.08202103</v>
      </c>
      <c r="N4" s="185">
        <f t="shared" si="0"/>
        <v>263087641.78825137</v>
      </c>
      <c r="O4" s="185">
        <f t="shared" si="0"/>
        <v>267033956.41507509</v>
      </c>
      <c r="P4" s="185">
        <f t="shared" si="0"/>
        <v>271039465.76130122</v>
      </c>
    </row>
    <row r="5" spans="1:16">
      <c r="A5" s="95">
        <v>1</v>
      </c>
      <c r="B5" s="32" t="s">
        <v>169</v>
      </c>
      <c r="C5" s="107" t="s">
        <v>25</v>
      </c>
      <c r="D5" s="176">
        <f>'Opex Segmental(84 KTPA)'!D6+'Opex Segmental(84 KTPA)'!D26+'Opex Segmental(84 KTPA)'!D46+'Opex Segmental(84 KTPA)'!D66</f>
        <v>202936000</v>
      </c>
      <c r="E5" s="176">
        <f>'Opex Segmental(84 KTPA)'!F5+'Opex Segmental(84 KTPA)'!F26+'Opex Segmental(84 KTPA)'!F46+'Opex Segmental(84 KTPA)'!F66</f>
        <v>205980040</v>
      </c>
      <c r="F5" s="176">
        <f>'Opex Segmental(84 KTPA)'!G5+'Opex Segmental(84 KTPA)'!G26+'Opex Segmental(84 KTPA)'!G46+'Opex Segmental(84 KTPA)'!G66</f>
        <v>209069740.59999999</v>
      </c>
      <c r="G5" s="176">
        <f>'Opex Segmental(84 KTPA)'!H5+'Opex Segmental(84 KTPA)'!H26+'Opex Segmental(84 KTPA)'!H46+'Opex Segmental(84 KTPA)'!H66</f>
        <v>212205786.70899999</v>
      </c>
      <c r="H5" s="176">
        <f>'Opex Segmental(84 KTPA)'!I5+'Opex Segmental(84 KTPA)'!I26+'Opex Segmental(84 KTPA)'!I46+'Opex Segmental(84 KTPA)'!I66</f>
        <v>215388873.509635</v>
      </c>
      <c r="I5" s="176">
        <f>'Opex Segmental(84 KTPA)'!J5+'Opex Segmental(84 KTPA)'!J26+'Opex Segmental(84 KTPA)'!J46+'Opex Segmental(84 KTPA)'!J66</f>
        <v>218619706.6122795</v>
      </c>
      <c r="J5" s="176">
        <f>'Opex Segmental(84 KTPA)'!K5+'Opex Segmental(84 KTPA)'!K26+'Opex Segmental(84 KTPA)'!K46+'Opex Segmental(84 KTPA)'!K66</f>
        <v>221899002.21146372</v>
      </c>
      <c r="K5" s="176">
        <f>'Opex Segmental(84 KTPA)'!L5+'Opex Segmental(84 KTPA)'!L26+'Opex Segmental(84 KTPA)'!L46+'Opex Segmental(84 KTPA)'!L66</f>
        <v>225227487.24463561</v>
      </c>
      <c r="L5" s="176">
        <f>'Opex Segmental(84 KTPA)'!M5+'Opex Segmental(84 KTPA)'!M26+'Opex Segmental(84 KTPA)'!M46+'Opex Segmental(84 KTPA)'!M66</f>
        <v>228605899.55330518</v>
      </c>
      <c r="M5" s="176">
        <f>'Opex Segmental(84 KTPA)'!N5+'Opex Segmental(84 KTPA)'!N26+'Opex Segmental(84 KTPA)'!N46+'Opex Segmental(84 KTPA)'!N66</f>
        <v>232034988.04660475</v>
      </c>
      <c r="N5" s="176">
        <f>'Opex Segmental(84 KTPA)'!O5+'Opex Segmental(84 KTPA)'!O26+'Opex Segmental(84 KTPA)'!O46+'Opex Segmental(84 KTPA)'!O66</f>
        <v>235515512.86730385</v>
      </c>
      <c r="O5" s="176">
        <f>'Opex Segmental(84 KTPA)'!P5+'Opex Segmental(84 KTPA)'!P26+'Opex Segmental(84 KTPA)'!P46+'Opex Segmental(84 KTPA)'!P66</f>
        <v>239048245.56031337</v>
      </c>
      <c r="P5" s="176">
        <f>'Opex Segmental(84 KTPA)'!Q5+'Opex Segmental(84 KTPA)'!Q26+'Opex Segmental(84 KTPA)'!Q46+'Opex Segmental(84 KTPA)'!Q66</f>
        <v>242633969.24371809</v>
      </c>
    </row>
    <row r="6" spans="1:16">
      <c r="A6" s="95">
        <v>2</v>
      </c>
      <c r="B6" s="32" t="s">
        <v>181</v>
      </c>
      <c r="C6" s="107"/>
      <c r="D6" s="176">
        <f>'Opex Segmental(84 KTPA)'!D7+'Opex Segmental(84 KTPA)'!D27+'Opex Segmental(84 KTPA)'!D47+'Opex Segmental(84 KTPA)'!D67</f>
        <v>23758000</v>
      </c>
      <c r="E6" s="176">
        <f>'Opex Segmental(84 KTPA)'!F6+'Opex Segmental(84 KTPA)'!F27+'Opex Segmental(84 KTPA)'!F47+'Opex Segmental(84 KTPA)'!F67</f>
        <v>24114370</v>
      </c>
      <c r="F6" s="176">
        <f>'Opex Segmental(84 KTPA)'!G6+'Opex Segmental(84 KTPA)'!G27+'Opex Segmental(84 KTPA)'!G47+'Opex Segmental(84 KTPA)'!G67</f>
        <v>24476085.550000001</v>
      </c>
      <c r="G6" s="176">
        <f>'Opex Segmental(84 KTPA)'!H6+'Opex Segmental(84 KTPA)'!H27+'Opex Segmental(84 KTPA)'!H47+'Opex Segmental(84 KTPA)'!H67</f>
        <v>24843226.833250001</v>
      </c>
      <c r="H6" s="176">
        <f>'Opex Segmental(84 KTPA)'!I6+'Opex Segmental(84 KTPA)'!I27+'Opex Segmental(84 KTPA)'!I47+'Opex Segmental(84 KTPA)'!I67</f>
        <v>25215875.235748753</v>
      </c>
      <c r="I6" s="176">
        <f>'Opex Segmental(84 KTPA)'!J6+'Opex Segmental(84 KTPA)'!J27+'Opex Segmental(84 KTPA)'!J47+'Opex Segmental(84 KTPA)'!J67</f>
        <v>25594113.364284981</v>
      </c>
      <c r="J6" s="176">
        <f>'Opex Segmental(84 KTPA)'!K6+'Opex Segmental(84 KTPA)'!K27+'Opex Segmental(84 KTPA)'!K47+'Opex Segmental(84 KTPA)'!K67</f>
        <v>25978025.064749256</v>
      </c>
      <c r="K6" s="176">
        <f>'Opex Segmental(84 KTPA)'!L6+'Opex Segmental(84 KTPA)'!L27+'Opex Segmental(84 KTPA)'!L47+'Opex Segmental(84 KTPA)'!L67</f>
        <v>26367695.440720495</v>
      </c>
      <c r="L6" s="176">
        <f>'Opex Segmental(84 KTPA)'!M6+'Opex Segmental(84 KTPA)'!M27+'Opex Segmental(84 KTPA)'!M47+'Opex Segmental(84 KTPA)'!M67</f>
        <v>26763210.872331306</v>
      </c>
      <c r="M6" s="176">
        <f>'Opex Segmental(84 KTPA)'!N6+'Opex Segmental(84 KTPA)'!N27+'Opex Segmental(84 KTPA)'!N47+'Opex Segmental(84 KTPA)'!N67</f>
        <v>27164659.035416275</v>
      </c>
      <c r="N6" s="176">
        <f>'Opex Segmental(84 KTPA)'!O6+'Opex Segmental(84 KTPA)'!O27+'Opex Segmental(84 KTPA)'!O47+'Opex Segmental(84 KTPA)'!O67</f>
        <v>27572128.920947514</v>
      </c>
      <c r="O6" s="176">
        <f>'Opex Segmental(84 KTPA)'!P6+'Opex Segmental(84 KTPA)'!P27+'Opex Segmental(84 KTPA)'!P47+'Opex Segmental(84 KTPA)'!P67</f>
        <v>27985710.854761727</v>
      </c>
      <c r="P6" s="176">
        <f>'Opex Segmental(84 KTPA)'!Q6+'Opex Segmental(84 KTPA)'!Q27+'Opex Segmental(84 KTPA)'!Q47+'Opex Segmental(84 KTPA)'!Q67</f>
        <v>28405496.517583154</v>
      </c>
    </row>
    <row r="7" spans="1:16">
      <c r="A7" s="115" t="s">
        <v>11</v>
      </c>
      <c r="B7" s="105" t="s">
        <v>120</v>
      </c>
      <c r="C7" s="106"/>
      <c r="D7" s="177">
        <f>D8</f>
        <v>2560000</v>
      </c>
      <c r="E7" s="177">
        <f t="shared" ref="E7:P7" si="1">E8</f>
        <v>2764800</v>
      </c>
      <c r="F7" s="177">
        <f t="shared" si="1"/>
        <v>2985984</v>
      </c>
      <c r="G7" s="177">
        <f t="shared" si="1"/>
        <v>3224862.7200000002</v>
      </c>
      <c r="H7" s="177">
        <f t="shared" si="1"/>
        <v>3482851.7375999996</v>
      </c>
      <c r="I7" s="177">
        <f t="shared" si="1"/>
        <v>3761479.8766080001</v>
      </c>
      <c r="J7" s="177">
        <f t="shared" si="1"/>
        <v>4062398.2667366401</v>
      </c>
      <c r="K7" s="177">
        <f t="shared" si="1"/>
        <v>4387390.1280755708</v>
      </c>
      <c r="L7" s="177">
        <f t="shared" si="1"/>
        <v>4738381.3383216169</v>
      </c>
      <c r="M7" s="177">
        <f t="shared" si="1"/>
        <v>5117451.8453873461</v>
      </c>
      <c r="N7" s="177">
        <f t="shared" si="1"/>
        <v>5526847.9930183338</v>
      </c>
      <c r="O7" s="177">
        <f t="shared" si="1"/>
        <v>5968995.8324597999</v>
      </c>
      <c r="P7" s="177">
        <f t="shared" si="1"/>
        <v>6446515.4990565851</v>
      </c>
    </row>
    <row r="8" spans="1:16">
      <c r="A8" s="95">
        <v>3</v>
      </c>
      <c r="B8" s="32" t="s">
        <v>184</v>
      </c>
      <c r="C8" s="107" t="s">
        <v>25</v>
      </c>
      <c r="D8" s="176">
        <f>'Opex Segmental(84 KTPA)'!D9+'Opex Segmental(84 KTPA)'!D29+'Opex Segmental(84 KTPA)'!D49+'Opex Segmental(84 KTPA)'!D69</f>
        <v>2560000</v>
      </c>
      <c r="E8" s="176">
        <f>'Opex Segmental(84 KTPA)'!F8+'Opex Segmental(84 KTPA)'!F29+'Opex Segmental(84 KTPA)'!F49+'Opex Segmental(84 KTPA)'!F69</f>
        <v>2764800</v>
      </c>
      <c r="F8" s="176">
        <f>'Opex Segmental(84 KTPA)'!G8+'Opex Segmental(84 KTPA)'!G29+'Opex Segmental(84 KTPA)'!G49+'Opex Segmental(84 KTPA)'!G69</f>
        <v>2985984</v>
      </c>
      <c r="G8" s="176">
        <f>'Opex Segmental(84 KTPA)'!H8+'Opex Segmental(84 KTPA)'!H29+'Opex Segmental(84 KTPA)'!H49+'Opex Segmental(84 KTPA)'!H69</f>
        <v>3224862.7200000002</v>
      </c>
      <c r="H8" s="176">
        <f>'Opex Segmental(84 KTPA)'!I8+'Opex Segmental(84 KTPA)'!I29+'Opex Segmental(84 KTPA)'!I49+'Opex Segmental(84 KTPA)'!I69</f>
        <v>3482851.7375999996</v>
      </c>
      <c r="I8" s="176">
        <f>'Opex Segmental(84 KTPA)'!J8+'Opex Segmental(84 KTPA)'!J29+'Opex Segmental(84 KTPA)'!J49+'Opex Segmental(84 KTPA)'!J69</f>
        <v>3761479.8766080001</v>
      </c>
      <c r="J8" s="176">
        <f>'Opex Segmental(84 KTPA)'!K8+'Opex Segmental(84 KTPA)'!K29+'Opex Segmental(84 KTPA)'!K49+'Opex Segmental(84 KTPA)'!K69</f>
        <v>4062398.2667366401</v>
      </c>
      <c r="K8" s="176">
        <f>'Opex Segmental(84 KTPA)'!L8+'Opex Segmental(84 KTPA)'!L29+'Opex Segmental(84 KTPA)'!L49+'Opex Segmental(84 KTPA)'!L69</f>
        <v>4387390.1280755708</v>
      </c>
      <c r="L8" s="176">
        <f>'Opex Segmental(84 KTPA)'!M8+'Opex Segmental(84 KTPA)'!M29+'Opex Segmental(84 KTPA)'!M49+'Opex Segmental(84 KTPA)'!M69</f>
        <v>4738381.3383216169</v>
      </c>
      <c r="M8" s="176">
        <f>'Opex Segmental(84 KTPA)'!N8+'Opex Segmental(84 KTPA)'!N29+'Opex Segmental(84 KTPA)'!N49+'Opex Segmental(84 KTPA)'!N69</f>
        <v>5117451.8453873461</v>
      </c>
      <c r="N8" s="176">
        <f>'Opex Segmental(84 KTPA)'!O8+'Opex Segmental(84 KTPA)'!O29+'Opex Segmental(84 KTPA)'!O49+'Opex Segmental(84 KTPA)'!O69</f>
        <v>5526847.9930183338</v>
      </c>
      <c r="O8" s="176">
        <f>'Opex Segmental(84 KTPA)'!P8+'Opex Segmental(84 KTPA)'!P29+'Opex Segmental(84 KTPA)'!P49+'Opex Segmental(84 KTPA)'!P69</f>
        <v>5968995.8324597999</v>
      </c>
      <c r="P8" s="176">
        <f>'Opex Segmental(84 KTPA)'!Q8+'Opex Segmental(84 KTPA)'!Q29+'Opex Segmental(84 KTPA)'!Q49+'Opex Segmental(84 KTPA)'!Q69</f>
        <v>6446515.4990565851</v>
      </c>
    </row>
    <row r="9" spans="1:16">
      <c r="A9" s="115" t="s">
        <v>33</v>
      </c>
      <c r="B9" s="105" t="s">
        <v>160</v>
      </c>
      <c r="C9" s="106"/>
      <c r="D9" s="178">
        <f>D10+D11</f>
        <v>12187867.931818182</v>
      </c>
      <c r="E9" s="178">
        <f t="shared" ref="E9:P9" si="2">E10+E11</f>
        <v>12395404.280965909</v>
      </c>
      <c r="F9" s="178">
        <f t="shared" si="2"/>
        <v>12606638.594477983</v>
      </c>
      <c r="G9" s="178">
        <f t="shared" si="2"/>
        <v>12821639.172108958</v>
      </c>
      <c r="H9" s="178">
        <f t="shared" si="2"/>
        <v>13040475.608864319</v>
      </c>
      <c r="I9" s="178">
        <f t="shared" si="2"/>
        <v>13263218.820021205</v>
      </c>
      <c r="J9" s="178">
        <f t="shared" si="2"/>
        <v>13489941.06663847</v>
      </c>
      <c r="K9" s="178">
        <f t="shared" si="2"/>
        <v>13720715.981565794</v>
      </c>
      <c r="L9" s="178">
        <f t="shared" si="2"/>
        <v>13955618.595961595</v>
      </c>
      <c r="M9" s="178">
        <f t="shared" si="2"/>
        <v>14194725.366329867</v>
      </c>
      <c r="N9" s="178">
        <f t="shared" si="2"/>
        <v>14438114.202086121</v>
      </c>
      <c r="O9" s="178">
        <f t="shared" si="2"/>
        <v>14685864.493662868</v>
      </c>
      <c r="P9" s="178">
        <f t="shared" si="2"/>
        <v>14938057.141165337</v>
      </c>
    </row>
    <row r="10" spans="1:16">
      <c r="A10" s="116">
        <v>4</v>
      </c>
      <c r="B10" s="32" t="s">
        <v>183</v>
      </c>
      <c r="C10" s="108"/>
      <c r="D10" s="176">
        <f>'Opex Segmental(84 KTPA)'!D11+'Opex Segmental(84 KTPA)'!D31+'Opex Segmental(84 KTPA)'!D51+'Opex Segmental(84 KTPA)'!D71</f>
        <v>7358400</v>
      </c>
      <c r="E10" s="124">
        <f>D10+D10*2%</f>
        <v>7505568</v>
      </c>
      <c r="F10" s="124">
        <f t="shared" ref="F10:P10" si="3">E10+E10*2%</f>
        <v>7655679.3600000003</v>
      </c>
      <c r="G10" s="124">
        <f t="shared" si="3"/>
        <v>7808792.9472000003</v>
      </c>
      <c r="H10" s="124">
        <f t="shared" si="3"/>
        <v>7964968.806144</v>
      </c>
      <c r="I10" s="124">
        <f t="shared" si="3"/>
        <v>8124268.1822668798</v>
      </c>
      <c r="J10" s="124">
        <f t="shared" si="3"/>
        <v>8286753.5459122173</v>
      </c>
      <c r="K10" s="124">
        <f t="shared" si="3"/>
        <v>8452488.6168304626</v>
      </c>
      <c r="L10" s="124">
        <f t="shared" si="3"/>
        <v>8621538.3891670723</v>
      </c>
      <c r="M10" s="124">
        <f t="shared" si="3"/>
        <v>8793969.1569504142</v>
      </c>
      <c r="N10" s="124">
        <f t="shared" si="3"/>
        <v>8969848.5400894228</v>
      </c>
      <c r="O10" s="124">
        <f t="shared" si="3"/>
        <v>9149245.5108912122</v>
      </c>
      <c r="P10" s="124">
        <f t="shared" si="3"/>
        <v>9332230.4211090356</v>
      </c>
    </row>
    <row r="11" spans="1:16">
      <c r="A11" s="95">
        <v>5</v>
      </c>
      <c r="B11" s="32" t="s">
        <v>180</v>
      </c>
      <c r="C11" s="108"/>
      <c r="D11" s="176">
        <f>'Opex Segmental(84 KTPA)'!D12+'Opex Segmental(84 KTPA)'!D32+'Opex Segmental(84 KTPA)'!D52+'Opex Segmental(84 KTPA)'!D72</f>
        <v>4829467.9318181816</v>
      </c>
      <c r="E11" s="124">
        <f>D11+D11*1.25%</f>
        <v>4889836.2809659094</v>
      </c>
      <c r="F11" s="124">
        <f t="shared" ref="F11:P11" si="4">E11+E11*1.25%</f>
        <v>4950959.2344779829</v>
      </c>
      <c r="G11" s="124">
        <f t="shared" si="4"/>
        <v>5012846.2249089573</v>
      </c>
      <c r="H11" s="124">
        <f t="shared" si="4"/>
        <v>5075506.8027203195</v>
      </c>
      <c r="I11" s="124">
        <f t="shared" si="4"/>
        <v>5138950.6377543239</v>
      </c>
      <c r="J11" s="124">
        <f t="shared" si="4"/>
        <v>5203187.5207262533</v>
      </c>
      <c r="K11" s="124">
        <f t="shared" si="4"/>
        <v>5268227.3647353314</v>
      </c>
      <c r="L11" s="124">
        <f t="shared" si="4"/>
        <v>5334080.2067945227</v>
      </c>
      <c r="M11" s="124">
        <f t="shared" si="4"/>
        <v>5400756.2093794541</v>
      </c>
      <c r="N11" s="124">
        <f t="shared" si="4"/>
        <v>5468265.6619966971</v>
      </c>
      <c r="O11" s="124">
        <f t="shared" si="4"/>
        <v>5536618.9827716555</v>
      </c>
      <c r="P11" s="124">
        <f t="shared" si="4"/>
        <v>5605826.720056301</v>
      </c>
    </row>
    <row r="12" spans="1:16">
      <c r="A12" s="115" t="s">
        <v>170</v>
      </c>
      <c r="B12" s="105" t="s">
        <v>161</v>
      </c>
      <c r="C12" s="106"/>
      <c r="D12" s="184">
        <f>SUM(D13:D15)</f>
        <v>2794143.8611000003</v>
      </c>
    </row>
    <row r="13" spans="1:16">
      <c r="A13" s="95">
        <v>6</v>
      </c>
      <c r="B13" s="120" t="s">
        <v>272</v>
      </c>
      <c r="C13" s="121">
        <v>2.5000000000000001E-2</v>
      </c>
      <c r="D13" s="182">
        <f>'Opex Segmental(84 KTPA)'!D14+'Opex Segmental(84 KTPA)'!D34+'Opex Segmental(84 KTPA)'!D54+'Opex Segmental(84 KTPA)'!D74</f>
        <v>894286.3620000002</v>
      </c>
    </row>
    <row r="14" spans="1:16">
      <c r="A14" s="95">
        <v>7</v>
      </c>
      <c r="B14" s="120" t="s">
        <v>271</v>
      </c>
      <c r="C14" s="121">
        <v>0.45</v>
      </c>
      <c r="D14" s="182">
        <f>'Opex Segmental(84 KTPA)'!D15+'Opex Segmental(84 KTPA)'!D35+'Opex Segmental(84 KTPA)'!D55+'Opex Segmental(84 KTPA)'!D75</f>
        <v>1554428.8629000001</v>
      </c>
    </row>
    <row r="15" spans="1:16">
      <c r="A15" s="95">
        <v>8</v>
      </c>
      <c r="B15" s="120" t="s">
        <v>273</v>
      </c>
      <c r="C15" s="121">
        <v>0.1</v>
      </c>
      <c r="D15" s="182">
        <f>'Opex Segmental(84 KTPA)'!D16+'Opex Segmental(84 KTPA)'!D36+'Opex Segmental(84 KTPA)'!D56+'Opex Segmental(84 KTPA)'!D76</f>
        <v>345428.63620000001</v>
      </c>
    </row>
    <row r="16" spans="1:16">
      <c r="A16" s="115" t="s">
        <v>4</v>
      </c>
      <c r="B16" s="122" t="s">
        <v>162</v>
      </c>
      <c r="C16" s="123"/>
      <c r="D16" s="184">
        <f>SUM(D17:D18)</f>
        <v>28279287.879331991</v>
      </c>
      <c r="G16" s="4"/>
    </row>
    <row r="17" spans="1:4">
      <c r="A17" s="95">
        <v>9</v>
      </c>
      <c r="B17" s="120" t="s">
        <v>274</v>
      </c>
      <c r="C17" s="121">
        <v>0.1</v>
      </c>
      <c r="D17" s="182">
        <f>'Opex Segmental(84 KTPA)'!D18+'Opex Segmental(84 KTPA)'!D38+'Opex Segmental(84 KTPA)'!D58+'Opex Segmental(84 KTPA)'!D78</f>
        <v>23544607.016116686</v>
      </c>
    </row>
    <row r="18" spans="1:4">
      <c r="A18" s="95">
        <v>10</v>
      </c>
      <c r="B18" s="120" t="s">
        <v>275</v>
      </c>
      <c r="C18" s="121">
        <v>0.02</v>
      </c>
      <c r="D18" s="182">
        <f>'Opex Segmental(84 KTPA)'!D19+'Opex Segmental(84 KTPA)'!D39+'Opex Segmental(84 KTPA)'!D59+'Opex Segmental(84 KTPA)'!D79</f>
        <v>4734680.863215303</v>
      </c>
    </row>
    <row r="19" spans="1:4" ht="15.75" thickBot="1">
      <c r="A19" s="117"/>
      <c r="B19" s="118" t="s">
        <v>171</v>
      </c>
      <c r="C19" s="119" t="s">
        <v>244</v>
      </c>
      <c r="D19" s="204">
        <f>D16+D3</f>
        <v>272515299.67225015</v>
      </c>
    </row>
    <row r="20" spans="1:4">
      <c r="B20" s="157" t="s">
        <v>223</v>
      </c>
    </row>
    <row r="21" spans="1:4">
      <c r="B21" s="158" t="s">
        <v>396</v>
      </c>
    </row>
    <row r="22" spans="1:4">
      <c r="B22" s="158" t="s">
        <v>224</v>
      </c>
    </row>
    <row r="23" spans="1:4" ht="25.5">
      <c r="B23" s="158" t="s">
        <v>395</v>
      </c>
    </row>
    <row r="24" spans="1:4" ht="38.25">
      <c r="B24" s="158" t="s">
        <v>397</v>
      </c>
    </row>
    <row r="25" spans="1:4">
      <c r="B25" s="158" t="s">
        <v>398</v>
      </c>
    </row>
    <row r="26" spans="1:4" ht="38.25">
      <c r="B26" s="158" t="s">
        <v>404</v>
      </c>
    </row>
    <row r="27" spans="1:4">
      <c r="B27" s="158"/>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8F6E11-9D91-4775-98B4-2D4C5103CFA3}">
  <dimension ref="A1:D11"/>
  <sheetViews>
    <sheetView showGridLines="0" workbookViewId="0">
      <selection activeCell="D4" sqref="D4"/>
    </sheetView>
  </sheetViews>
  <sheetFormatPr defaultRowHeight="15"/>
  <cols>
    <col min="1" max="1" width="36.5703125" bestFit="1" customWidth="1"/>
    <col min="2" max="2" width="21" customWidth="1"/>
    <col min="3" max="3" width="21.28515625" customWidth="1"/>
    <col min="4" max="4" width="22.5703125" customWidth="1"/>
    <col min="6" max="6" width="10" bestFit="1" customWidth="1"/>
  </cols>
  <sheetData>
    <row r="1" spans="1:4">
      <c r="A1" s="352" t="s">
        <v>257</v>
      </c>
      <c r="B1" s="353"/>
      <c r="C1" s="353"/>
      <c r="D1" s="353"/>
    </row>
    <row r="2" spans="1:4">
      <c r="A2" s="207"/>
      <c r="B2" s="207" t="s">
        <v>258</v>
      </c>
      <c r="C2" s="205"/>
      <c r="D2" s="207"/>
    </row>
    <row r="3" spans="1:4">
      <c r="A3" s="206"/>
      <c r="B3" s="207">
        <f>SUM(B4:B9)</f>
        <v>320</v>
      </c>
      <c r="C3" s="207" t="s">
        <v>353</v>
      </c>
      <c r="D3" s="206" t="s">
        <v>352</v>
      </c>
    </row>
    <row r="4" spans="1:4">
      <c r="A4" s="206" t="s">
        <v>259</v>
      </c>
      <c r="B4" s="206">
        <v>5</v>
      </c>
      <c r="C4" s="208">
        <v>50</v>
      </c>
      <c r="D4" s="206">
        <f>B4*C4</f>
        <v>250</v>
      </c>
    </row>
    <row r="5" spans="1:4">
      <c r="A5" s="206" t="s">
        <v>260</v>
      </c>
      <c r="B5" s="206">
        <v>10</v>
      </c>
      <c r="C5" s="208">
        <v>25</v>
      </c>
      <c r="D5" s="206">
        <f t="shared" ref="D5:D9" si="0">B5*C5</f>
        <v>250</v>
      </c>
    </row>
    <row r="6" spans="1:4">
      <c r="A6" s="206" t="s">
        <v>261</v>
      </c>
      <c r="B6" s="206">
        <v>25</v>
      </c>
      <c r="C6" s="208">
        <v>15</v>
      </c>
      <c r="D6" s="206">
        <f t="shared" si="0"/>
        <v>375</v>
      </c>
    </row>
    <row r="7" spans="1:4">
      <c r="A7" s="206" t="s">
        <v>262</v>
      </c>
      <c r="B7" s="206">
        <v>30</v>
      </c>
      <c r="C7" s="208">
        <v>7.5</v>
      </c>
      <c r="D7" s="206">
        <f t="shared" si="0"/>
        <v>225</v>
      </c>
    </row>
    <row r="8" spans="1:4">
      <c r="A8" s="206" t="s">
        <v>263</v>
      </c>
      <c r="B8" s="206">
        <v>50</v>
      </c>
      <c r="C8" s="208">
        <v>5</v>
      </c>
      <c r="D8" s="206">
        <f t="shared" si="0"/>
        <v>250</v>
      </c>
    </row>
    <row r="9" spans="1:4">
      <c r="A9" s="206" t="s">
        <v>264</v>
      </c>
      <c r="B9" s="206">
        <v>200</v>
      </c>
      <c r="C9" s="208">
        <v>2.85</v>
      </c>
      <c r="D9" s="206">
        <f t="shared" si="0"/>
        <v>570</v>
      </c>
    </row>
    <row r="10" spans="1:4">
      <c r="A10" s="354" t="s">
        <v>265</v>
      </c>
      <c r="B10" s="355"/>
      <c r="C10" s="356"/>
      <c r="D10" s="206">
        <f>SUM(D4:D9)</f>
        <v>1920</v>
      </c>
    </row>
    <row r="11" spans="1:4">
      <c r="A11" s="354" t="s">
        <v>266</v>
      </c>
      <c r="B11" s="355"/>
      <c r="C11" s="356"/>
      <c r="D11" s="206">
        <f>(D10/75)/10</f>
        <v>2.56</v>
      </c>
    </row>
  </sheetData>
  <mergeCells count="3">
    <mergeCell ref="A1:D1"/>
    <mergeCell ref="A10:C10"/>
    <mergeCell ref="A11:C11"/>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513DD-4EE5-4130-A2BB-A87BFE7437D7}">
  <dimension ref="A1:M78"/>
  <sheetViews>
    <sheetView showGridLines="0" topLeftCell="A49" zoomScaleNormal="100" workbookViewId="0">
      <selection activeCell="C58" sqref="C58"/>
    </sheetView>
  </sheetViews>
  <sheetFormatPr defaultColWidth="8.7109375" defaultRowHeight="15"/>
  <cols>
    <col min="1" max="1" width="8.85546875" style="68" bestFit="1" customWidth="1"/>
    <col min="2" max="2" width="27.42578125" bestFit="1" customWidth="1"/>
    <col min="3" max="3" width="34.28515625" customWidth="1"/>
    <col min="4" max="4" width="15.28515625" style="88" bestFit="1" customWidth="1"/>
    <col min="5" max="5" width="17.140625" customWidth="1"/>
    <col min="6" max="6" width="18.7109375" bestFit="1" customWidth="1"/>
    <col min="7" max="7" width="15.28515625" bestFit="1" customWidth="1"/>
    <col min="8" max="8" width="18.7109375" bestFit="1" customWidth="1"/>
    <col min="9" max="13" width="16.28515625" bestFit="1" customWidth="1"/>
  </cols>
  <sheetData>
    <row r="1" spans="1:13" s="77" customFormat="1">
      <c r="A1" s="69"/>
      <c r="B1" s="69" t="s">
        <v>41</v>
      </c>
      <c r="C1" s="69"/>
      <c r="D1" s="358" t="s">
        <v>43</v>
      </c>
      <c r="E1" s="358"/>
      <c r="F1" s="358"/>
      <c r="G1" s="358"/>
      <c r="H1" s="358"/>
      <c r="I1" s="358"/>
      <c r="J1" s="358"/>
      <c r="K1" s="358"/>
      <c r="L1" s="358"/>
      <c r="M1" s="358"/>
    </row>
    <row r="2" spans="1:13" s="77" customFormat="1">
      <c r="A2" s="69"/>
      <c r="B2" s="69"/>
      <c r="C2" s="69"/>
      <c r="D2" s="189">
        <v>1</v>
      </c>
      <c r="E2" s="69">
        <v>2</v>
      </c>
      <c r="F2" s="69">
        <v>3</v>
      </c>
      <c r="G2" s="69">
        <v>4</v>
      </c>
      <c r="H2" s="69">
        <v>5</v>
      </c>
      <c r="I2" s="69">
        <v>6</v>
      </c>
      <c r="J2" s="70">
        <v>7</v>
      </c>
      <c r="K2" s="69">
        <v>8</v>
      </c>
      <c r="L2" s="70">
        <v>9</v>
      </c>
      <c r="M2" s="69">
        <v>10</v>
      </c>
    </row>
    <row r="3" spans="1:13" s="171" customFormat="1">
      <c r="A3" s="168"/>
      <c r="B3" s="169" t="s">
        <v>228</v>
      </c>
      <c r="C3" s="168" t="s">
        <v>235</v>
      </c>
      <c r="D3" s="168"/>
      <c r="E3" s="168"/>
      <c r="F3" s="168"/>
      <c r="G3" s="168"/>
      <c r="H3" s="168"/>
      <c r="I3" s="168"/>
      <c r="J3" s="170"/>
      <c r="K3" s="168"/>
      <c r="L3" s="170"/>
      <c r="M3" s="168"/>
    </row>
    <row r="4" spans="1:13">
      <c r="A4" s="126">
        <v>1</v>
      </c>
      <c r="B4" s="126" t="s">
        <v>116</v>
      </c>
      <c r="C4" s="132">
        <f>C5</f>
        <v>-35771454.480000004</v>
      </c>
      <c r="D4" s="133"/>
      <c r="E4" s="132"/>
      <c r="F4" s="132"/>
      <c r="G4" s="132"/>
      <c r="H4" s="132"/>
      <c r="I4" s="132"/>
      <c r="J4" s="78"/>
      <c r="K4" s="132"/>
      <c r="L4" s="132"/>
      <c r="M4" s="132"/>
    </row>
    <row r="5" spans="1:13" s="125" customFormat="1">
      <c r="A5" s="127"/>
      <c r="B5" s="165" t="s">
        <v>117</v>
      </c>
      <c r="C5" s="134">
        <f>-Capex!D19</f>
        <v>-35771454.480000004</v>
      </c>
      <c r="D5" s="180"/>
      <c r="E5" s="180"/>
      <c r="F5" s="180"/>
      <c r="G5" s="180"/>
      <c r="H5" s="180"/>
      <c r="I5" s="180"/>
      <c r="J5" s="180"/>
      <c r="K5" s="180"/>
      <c r="L5" s="180"/>
      <c r="M5" s="180"/>
    </row>
    <row r="6" spans="1:13" s="125" customFormat="1">
      <c r="A6" s="159"/>
      <c r="B6" s="166"/>
      <c r="C6" s="160"/>
      <c r="D6" s="173"/>
      <c r="E6" s="173"/>
      <c r="F6" s="173"/>
      <c r="G6" s="173"/>
      <c r="H6" s="173"/>
      <c r="I6" s="173"/>
      <c r="J6" s="173"/>
      <c r="K6" s="173"/>
      <c r="L6" s="173"/>
      <c r="M6" s="173"/>
    </row>
    <row r="7" spans="1:13" s="164" customFormat="1">
      <c r="A7" s="161"/>
      <c r="B7" s="167" t="s">
        <v>226</v>
      </c>
      <c r="C7" s="162"/>
      <c r="D7" s="196">
        <v>0.6</v>
      </c>
      <c r="E7" s="163">
        <v>0.8</v>
      </c>
      <c r="F7" s="163">
        <v>0.9</v>
      </c>
      <c r="G7" s="163">
        <v>0.95</v>
      </c>
      <c r="H7" s="163">
        <v>0.77</v>
      </c>
      <c r="I7" s="163">
        <v>0.88</v>
      </c>
      <c r="J7" s="163">
        <v>0.95</v>
      </c>
      <c r="K7" s="163">
        <v>0.95</v>
      </c>
      <c r="L7" s="163">
        <v>0.95</v>
      </c>
      <c r="M7" s="163">
        <v>0.95</v>
      </c>
    </row>
    <row r="8" spans="1:13" s="77" customFormat="1">
      <c r="A8" s="128">
        <v>2</v>
      </c>
      <c r="B8" s="128" t="s">
        <v>45</v>
      </c>
      <c r="C8" s="135"/>
      <c r="D8" s="197">
        <f>+D9*D10+D11*D12+D13*D14+D16*D15</f>
        <v>89327742.840000004</v>
      </c>
      <c r="E8" s="135">
        <f t="shared" ref="E8:M8" si="0">+E9*E10+E11*E12+E13*E14+E16*E15</f>
        <v>121060325.08751997</v>
      </c>
      <c r="F8" s="135">
        <f t="shared" si="0"/>
        <v>137943812.71510813</v>
      </c>
      <c r="G8" s="135">
        <f t="shared" si="0"/>
        <v>147718117.82737851</v>
      </c>
      <c r="H8" s="135">
        <f t="shared" si="0"/>
        <v>255597128.85170925</v>
      </c>
      <c r="I8" s="135">
        <f t="shared" si="0"/>
        <v>281916386.03791445</v>
      </c>
      <c r="J8" s="135">
        <f t="shared" si="0"/>
        <v>308906676.4057489</v>
      </c>
      <c r="K8" s="135">
        <f t="shared" si="0"/>
        <v>313565252.05781704</v>
      </c>
      <c r="L8" s="135">
        <f t="shared" si="0"/>
        <v>318268730.83868432</v>
      </c>
      <c r="M8" s="135">
        <f t="shared" si="0"/>
        <v>323042761.80126452</v>
      </c>
    </row>
    <row r="9" spans="1:13">
      <c r="A9" s="126"/>
      <c r="B9" s="136" t="s">
        <v>246</v>
      </c>
      <c r="C9" s="132"/>
      <c r="D9" s="187">
        <f>42000000*D7*0.52381</f>
        <v>13200012</v>
      </c>
      <c r="E9" s="132">
        <f>42000000*E7*0.52381</f>
        <v>17600016</v>
      </c>
      <c r="F9" s="132">
        <f>42000000*F7*0.52381</f>
        <v>19800018</v>
      </c>
      <c r="G9" s="132">
        <f>42000000*G7*0.52381</f>
        <v>20900019</v>
      </c>
      <c r="H9" s="132">
        <f t="shared" ref="H9:M9" si="1">84000000*H7*0.52381</f>
        <v>33880030.799999997</v>
      </c>
      <c r="I9" s="132">
        <f t="shared" si="1"/>
        <v>38720035.200000003</v>
      </c>
      <c r="J9" s="132">
        <f t="shared" si="1"/>
        <v>41800038</v>
      </c>
      <c r="K9" s="132">
        <f t="shared" si="1"/>
        <v>41800038</v>
      </c>
      <c r="L9" s="132">
        <f t="shared" si="1"/>
        <v>41800038</v>
      </c>
      <c r="M9" s="132">
        <f t="shared" si="1"/>
        <v>41800038</v>
      </c>
    </row>
    <row r="10" spans="1:13">
      <c r="A10" s="126"/>
      <c r="B10" s="136" t="s">
        <v>179</v>
      </c>
      <c r="C10" s="132"/>
      <c r="D10" s="190">
        <v>3.41</v>
      </c>
      <c r="E10" s="190">
        <f>D10*1.017</f>
        <v>3.4679699999999998</v>
      </c>
      <c r="F10" s="190">
        <f>E10*1.012</f>
        <v>3.5095856399999996</v>
      </c>
      <c r="G10" s="190">
        <f>F10*1.014</f>
        <v>3.5587198389599997</v>
      </c>
      <c r="H10" s="190">
        <f t="shared" ref="H10:M10" si="2">G10*1.015</f>
        <v>3.6121006365443993</v>
      </c>
      <c r="I10" s="190">
        <f t="shared" si="2"/>
        <v>3.666282146092565</v>
      </c>
      <c r="J10" s="190">
        <f t="shared" si="2"/>
        <v>3.7212763782839531</v>
      </c>
      <c r="K10" s="190">
        <f t="shared" si="2"/>
        <v>3.777095523958212</v>
      </c>
      <c r="L10" s="190">
        <f t="shared" si="2"/>
        <v>3.8337519568175846</v>
      </c>
      <c r="M10" s="190">
        <f t="shared" si="2"/>
        <v>3.8912582361698482</v>
      </c>
    </row>
    <row r="11" spans="1:13">
      <c r="A11" s="126"/>
      <c r="B11" s="136" t="s">
        <v>247</v>
      </c>
      <c r="C11" s="132"/>
      <c r="D11" s="192">
        <f>42000000*D7*0.2381</f>
        <v>6000120</v>
      </c>
      <c r="E11" s="191">
        <f>42000000*E7*0.2381</f>
        <v>8000160</v>
      </c>
      <c r="F11" s="191">
        <f>42000000*F7*0.2381</f>
        <v>9000180</v>
      </c>
      <c r="G11" s="191">
        <f>42000000*G7*0.2381</f>
        <v>9500190</v>
      </c>
      <c r="H11" s="191">
        <f>84000000*H7*0.2381</f>
        <v>15400308</v>
      </c>
      <c r="I11" s="191">
        <f>84000000*I7*0.2381</f>
        <v>17600352</v>
      </c>
      <c r="J11" s="191">
        <f>84000000*J7*0.2381</f>
        <v>19000380</v>
      </c>
      <c r="K11" s="191">
        <f t="shared" ref="K11:M11" si="3">84000000*K7*0.2381</f>
        <v>19000380</v>
      </c>
      <c r="L11" s="191">
        <f t="shared" si="3"/>
        <v>19000380</v>
      </c>
      <c r="M11" s="191">
        <f t="shared" si="3"/>
        <v>19000380</v>
      </c>
    </row>
    <row r="12" spans="1:13">
      <c r="A12" s="126"/>
      <c r="B12" s="136" t="s">
        <v>232</v>
      </c>
      <c r="C12" s="139"/>
      <c r="D12" s="193">
        <f>3.13</f>
        <v>3.13</v>
      </c>
      <c r="E12" s="190">
        <f>D12*1.017</f>
        <v>3.1832099999999994</v>
      </c>
      <c r="F12" s="190">
        <f>E12*1.012</f>
        <v>3.2214085199999993</v>
      </c>
      <c r="G12" s="190">
        <f t="shared" ref="G12:M12" si="4">F12*1.015</f>
        <v>3.2697296477999989</v>
      </c>
      <c r="H12" s="190">
        <f t="shared" si="4"/>
        <v>3.3187755925169986</v>
      </c>
      <c r="I12" s="190">
        <f t="shared" si="4"/>
        <v>3.3685572264047532</v>
      </c>
      <c r="J12" s="190">
        <f t="shared" si="4"/>
        <v>3.4190855848008241</v>
      </c>
      <c r="K12" s="190">
        <f t="shared" si="4"/>
        <v>3.470371868572836</v>
      </c>
      <c r="L12" s="190">
        <f t="shared" si="4"/>
        <v>3.5224274466014283</v>
      </c>
      <c r="M12" s="190">
        <f t="shared" si="4"/>
        <v>3.5752638583004495</v>
      </c>
    </row>
    <row r="13" spans="1:13">
      <c r="A13" s="126"/>
      <c r="B13" s="136" t="s">
        <v>248</v>
      </c>
      <c r="C13" s="132"/>
      <c r="D13" s="192">
        <f>42000000*D7*0.07143</f>
        <v>1800035.9999999998</v>
      </c>
      <c r="E13" s="191">
        <f>42000000*E7*0.07143</f>
        <v>2400048</v>
      </c>
      <c r="F13" s="191">
        <f>42000000*F7*0.07143</f>
        <v>2700053.9999999995</v>
      </c>
      <c r="G13" s="191">
        <f>42000000*G7*0.07143</f>
        <v>2850056.9999999995</v>
      </c>
      <c r="H13" s="191">
        <f t="shared" ref="H13:M13" si="5">84000000*H7*0.07143</f>
        <v>4620092.3999999994</v>
      </c>
      <c r="I13" s="191">
        <f t="shared" si="5"/>
        <v>5280105.5999999996</v>
      </c>
      <c r="J13" s="191">
        <f t="shared" si="5"/>
        <v>5700113.9999999991</v>
      </c>
      <c r="K13" s="191">
        <f t="shared" si="5"/>
        <v>5700113.9999999991</v>
      </c>
      <c r="L13" s="191">
        <f t="shared" si="5"/>
        <v>5700113.9999999991</v>
      </c>
      <c r="M13" s="191">
        <f t="shared" si="5"/>
        <v>5700113.9999999991</v>
      </c>
    </row>
    <row r="14" spans="1:13">
      <c r="A14" s="126"/>
      <c r="B14" s="136" t="s">
        <v>233</v>
      </c>
      <c r="C14" s="132"/>
      <c r="D14" s="193">
        <v>3.22</v>
      </c>
      <c r="E14" s="190">
        <f>D14*1.015</f>
        <v>3.2683</v>
      </c>
      <c r="F14" s="190">
        <f t="shared" ref="F14:M14" si="6">E14*1.015</f>
        <v>3.3173244999999998</v>
      </c>
      <c r="G14" s="190">
        <f t="shared" si="6"/>
        <v>3.3670843674999995</v>
      </c>
      <c r="H14" s="190">
        <f t="shared" si="6"/>
        <v>3.417590633012499</v>
      </c>
      <c r="I14" s="190">
        <f t="shared" si="6"/>
        <v>3.4688544925076861</v>
      </c>
      <c r="J14" s="190">
        <f t="shared" si="6"/>
        <v>3.5208873098953011</v>
      </c>
      <c r="K14" s="190">
        <f t="shared" si="6"/>
        <v>3.5737006195437302</v>
      </c>
      <c r="L14" s="190">
        <f t="shared" si="6"/>
        <v>3.627306128836886</v>
      </c>
      <c r="M14" s="190">
        <f t="shared" si="6"/>
        <v>3.6817157207694389</v>
      </c>
    </row>
    <row r="15" spans="1:13">
      <c r="A15" s="126"/>
      <c r="B15" s="136" t="s">
        <v>249</v>
      </c>
      <c r="C15" s="132"/>
      <c r="D15" s="192">
        <f>42000000*D7*0.16666</f>
        <v>4199832</v>
      </c>
      <c r="E15" s="192">
        <f>42000000*E7*0.16666</f>
        <v>5599776</v>
      </c>
      <c r="F15" s="192">
        <f>42000000*F7*0.16666</f>
        <v>6299748</v>
      </c>
      <c r="G15" s="192">
        <f>42000000*G7*0.16666</f>
        <v>6649734</v>
      </c>
      <c r="H15" s="192">
        <f>84000000*G7*0.1666</f>
        <v>13294680</v>
      </c>
      <c r="I15" s="192">
        <f>84000000*I7*0.1666</f>
        <v>12315072</v>
      </c>
      <c r="J15" s="192">
        <f>84000000*J7*0.1666</f>
        <v>13294680</v>
      </c>
      <c r="K15" s="192">
        <f>84000000*K7*0.16666</f>
        <v>13299468</v>
      </c>
      <c r="L15" s="192">
        <f>84000000*L7*0.16666</f>
        <v>13299468</v>
      </c>
      <c r="M15" s="192">
        <f>84000000*M7*0.16666</f>
        <v>13299468</v>
      </c>
    </row>
    <row r="16" spans="1:13">
      <c r="A16" s="126"/>
      <c r="B16" s="136" t="s">
        <v>250</v>
      </c>
      <c r="C16" s="132"/>
      <c r="D16" s="193">
        <v>4.7</v>
      </c>
      <c r="E16" s="193">
        <f>D16+D16*1.5%</f>
        <v>4.7705000000000002</v>
      </c>
      <c r="F16" s="193">
        <f t="shared" ref="F16:M16" si="7">E16+E16*1.5%</f>
        <v>4.8420575000000001</v>
      </c>
      <c r="G16" s="193">
        <f t="shared" si="7"/>
        <v>4.9146883624999997</v>
      </c>
      <c r="H16" s="193">
        <f t="shared" si="7"/>
        <v>4.9884086879374996</v>
      </c>
      <c r="I16" s="193">
        <f t="shared" si="7"/>
        <v>5.0632348182565625</v>
      </c>
      <c r="J16" s="193">
        <f t="shared" si="7"/>
        <v>5.139183340530411</v>
      </c>
      <c r="K16" s="193">
        <f t="shared" si="7"/>
        <v>5.2162710906383669</v>
      </c>
      <c r="L16" s="193">
        <f t="shared" si="7"/>
        <v>5.2945151569979423</v>
      </c>
      <c r="M16" s="193">
        <f t="shared" si="7"/>
        <v>5.3739328843529117</v>
      </c>
    </row>
    <row r="17" spans="1:13">
      <c r="A17" s="126"/>
      <c r="B17" s="136"/>
      <c r="C17" s="132"/>
      <c r="D17" s="186"/>
      <c r="E17" s="137"/>
      <c r="F17" s="137"/>
      <c r="G17" s="137"/>
      <c r="H17" s="137"/>
      <c r="I17" s="137"/>
      <c r="J17" s="137"/>
      <c r="K17" s="137"/>
      <c r="L17" s="137"/>
      <c r="M17" s="137"/>
    </row>
    <row r="18" spans="1:13">
      <c r="A18" s="126"/>
      <c r="B18" s="136"/>
      <c r="C18" s="132"/>
      <c r="D18" s="137"/>
      <c r="E18" s="137"/>
      <c r="F18" s="137"/>
      <c r="G18" s="137"/>
      <c r="H18" s="137"/>
      <c r="I18" s="137"/>
      <c r="J18" s="137"/>
      <c r="K18" s="137"/>
      <c r="L18" s="137"/>
      <c r="M18" s="137"/>
    </row>
    <row r="19" spans="1:13" s="77" customFormat="1">
      <c r="A19" s="128">
        <v>3</v>
      </c>
      <c r="B19" s="128" t="s">
        <v>153</v>
      </c>
      <c r="C19" s="135"/>
      <c r="D19" s="135">
        <f>SUM(D20:D22)</f>
        <v>8707980.9322281163</v>
      </c>
      <c r="E19" s="135">
        <f t="shared" ref="E19:M19" si="8">SUM(E20:E22)</f>
        <v>3275921.3860113979</v>
      </c>
      <c r="F19" s="135">
        <f t="shared" si="8"/>
        <v>1718351.4766923231</v>
      </c>
      <c r="G19" s="135">
        <f t="shared" si="8"/>
        <v>996396.43802343402</v>
      </c>
      <c r="H19" s="135">
        <f t="shared" si="8"/>
        <v>11346066.290285466</v>
      </c>
      <c r="I19" s="135">
        <f t="shared" si="8"/>
        <v>1925820.5771241086</v>
      </c>
      <c r="J19" s="135">
        <f t="shared" si="8"/>
        <v>2747194.5598506583</v>
      </c>
      <c r="K19" s="135">
        <f t="shared" si="8"/>
        <v>458862.31726777798</v>
      </c>
      <c r="L19" s="135">
        <f t="shared" si="8"/>
        <v>442990.28924463538</v>
      </c>
      <c r="M19" s="135">
        <f t="shared" si="8"/>
        <v>447797.80188555107</v>
      </c>
    </row>
    <row r="20" spans="1:13">
      <c r="A20" s="126"/>
      <c r="B20" s="126" t="s">
        <v>154</v>
      </c>
      <c r="C20" s="132"/>
      <c r="D20" s="132">
        <f>'Working sheet'!E5</f>
        <v>14684012.521643836</v>
      </c>
      <c r="E20" s="132">
        <f>'Working sheet'!F5</f>
        <v>5216314.8900032826</v>
      </c>
      <c r="F20" s="132">
        <f>'Working sheet'!G5</f>
        <v>2775367.8291925732</v>
      </c>
      <c r="G20" s="132">
        <f>'Working sheet'!H5</f>
        <v>1606735.0869485564</v>
      </c>
      <c r="H20" s="132">
        <f>'Working sheet'!I5</f>
        <v>17733536.058794092</v>
      </c>
      <c r="I20" s="132">
        <f>'Working sheet'!J5</f>
        <v>4326453.2360885274</v>
      </c>
      <c r="J20" s="132">
        <f>'Working sheet'!K5</f>
        <v>4436760.0604659375</v>
      </c>
      <c r="K20" s="132">
        <f>'Working sheet'!L5</f>
        <v>765793.25787421444</v>
      </c>
      <c r="L20" s="132">
        <f>'Working sheet'!M5</f>
        <v>773174.59411516902</v>
      </c>
      <c r="M20" s="132">
        <f>'Working sheet'!N5</f>
        <v>784772.21302688285</v>
      </c>
    </row>
    <row r="21" spans="1:13">
      <c r="A21" s="126"/>
      <c r="B21" s="126" t="s">
        <v>46</v>
      </c>
      <c r="C21" s="132"/>
      <c r="D21" s="132">
        <f>'Working sheet'!E10</f>
        <v>5976031.5894157207</v>
      </c>
      <c r="E21" s="132">
        <f>'Working sheet'!F10</f>
        <v>1940393.5039918844</v>
      </c>
      <c r="F21" s="132">
        <f>'Working sheet'!G10</f>
        <v>1057016.3525002501</v>
      </c>
      <c r="G21" s="132">
        <f>'Working sheet'!H10</f>
        <v>610338.64892512234</v>
      </c>
      <c r="H21" s="132">
        <f>'Working sheet'!I10</f>
        <v>6387469.7685086252</v>
      </c>
      <c r="I21" s="132">
        <f>'Working sheet'!J10</f>
        <v>2400632.6589644183</v>
      </c>
      <c r="J21" s="132">
        <f>'Working sheet'!K10</f>
        <v>1689565.5006152792</v>
      </c>
      <c r="K21" s="132">
        <f>'Working sheet'!L10</f>
        <v>306930.94060643652</v>
      </c>
      <c r="L21" s="132">
        <f>'Working sheet'!M10</f>
        <v>330184.30487053358</v>
      </c>
      <c r="M21" s="132">
        <f>'Working sheet'!N10</f>
        <v>336974.41114133189</v>
      </c>
    </row>
    <row r="22" spans="1:13" s="77" customFormat="1">
      <c r="A22" s="128"/>
      <c r="B22" s="126" t="s">
        <v>155</v>
      </c>
      <c r="C22" s="135"/>
      <c r="D22" s="132">
        <f>'Working sheet'!E15</f>
        <v>-11952063.178831441</v>
      </c>
      <c r="E22" s="132">
        <f>'Working sheet'!F15</f>
        <v>-3880787.0079837688</v>
      </c>
      <c r="F22" s="132">
        <f>'Working sheet'!G15</f>
        <v>-2114032.7050005002</v>
      </c>
      <c r="G22" s="132">
        <f>'Working sheet'!H15</f>
        <v>-1220677.2978502447</v>
      </c>
      <c r="H22" s="132">
        <f>'Working sheet'!I15</f>
        <v>-12774939.53701725</v>
      </c>
      <c r="I22" s="132">
        <f>'Working sheet'!J15</f>
        <v>-4801265.3179288367</v>
      </c>
      <c r="J22" s="132">
        <f>'Working sheet'!K15</f>
        <v>-3379131.0012305584</v>
      </c>
      <c r="K22" s="132">
        <f>'Working sheet'!L15</f>
        <v>-613861.88121287304</v>
      </c>
      <c r="L22" s="132">
        <f>'Working sheet'!M15</f>
        <v>-660368.60974106716</v>
      </c>
      <c r="M22" s="132">
        <f>'Working sheet'!N15</f>
        <v>-673948.82228266378</v>
      </c>
    </row>
    <row r="23" spans="1:13">
      <c r="A23" s="126"/>
      <c r="B23" s="126"/>
      <c r="C23" s="132"/>
      <c r="D23" s="133"/>
      <c r="E23" s="133"/>
      <c r="F23" s="133"/>
      <c r="G23" s="133"/>
      <c r="H23" s="133"/>
      <c r="I23" s="133"/>
      <c r="J23" s="133"/>
      <c r="K23" s="133"/>
      <c r="L23" s="133"/>
      <c r="M23" s="133"/>
    </row>
    <row r="24" spans="1:13" s="77" customFormat="1">
      <c r="A24" s="129">
        <v>4</v>
      </c>
      <c r="B24" s="129" t="s">
        <v>157</v>
      </c>
      <c r="C24" s="138"/>
      <c r="D24" s="138">
        <f t="shared" ref="D24:M24" si="9">+D8+D19</f>
        <v>98035723.772228122</v>
      </c>
      <c r="E24" s="138">
        <f>+E8+E19</f>
        <v>124336246.47353137</v>
      </c>
      <c r="F24" s="138">
        <f t="shared" si="9"/>
        <v>139662164.19180045</v>
      </c>
      <c r="G24" s="138">
        <f t="shared" si="9"/>
        <v>148714514.26540196</v>
      </c>
      <c r="H24" s="138">
        <f t="shared" si="9"/>
        <v>266943195.14199471</v>
      </c>
      <c r="I24" s="138">
        <f t="shared" si="9"/>
        <v>283842206.61503857</v>
      </c>
      <c r="J24" s="138">
        <f t="shared" si="9"/>
        <v>311653870.96559954</v>
      </c>
      <c r="K24" s="138">
        <f t="shared" si="9"/>
        <v>314024114.37508482</v>
      </c>
      <c r="L24" s="138">
        <f t="shared" si="9"/>
        <v>318711721.12792897</v>
      </c>
      <c r="M24" s="138">
        <f t="shared" si="9"/>
        <v>323490559.60315007</v>
      </c>
    </row>
    <row r="25" spans="1:13">
      <c r="A25" s="126"/>
      <c r="B25" s="126"/>
      <c r="C25" s="132"/>
      <c r="D25" s="132"/>
      <c r="E25" s="139"/>
      <c r="F25" s="132"/>
      <c r="G25" s="132"/>
      <c r="H25" s="132"/>
      <c r="I25" s="132"/>
      <c r="J25" s="132"/>
      <c r="K25" s="132"/>
      <c r="L25" s="132"/>
      <c r="M25" s="132"/>
    </row>
    <row r="26" spans="1:13">
      <c r="A26" s="126">
        <v>5</v>
      </c>
      <c r="B26" s="128" t="s">
        <v>158</v>
      </c>
      <c r="C26" s="132"/>
      <c r="D26" s="132"/>
      <c r="E26" s="132"/>
      <c r="F26" s="132"/>
      <c r="G26" s="132"/>
      <c r="H26" s="132"/>
      <c r="I26" s="132"/>
      <c r="J26" s="132"/>
      <c r="K26" s="132"/>
      <c r="L26" s="132"/>
      <c r="M26" s="132"/>
    </row>
    <row r="27" spans="1:13">
      <c r="A27" s="126"/>
      <c r="B27" s="126" t="s">
        <v>5</v>
      </c>
      <c r="C27" s="78">
        <f>D27/D$32</f>
        <v>0.83732846705923247</v>
      </c>
      <c r="D27" s="132">
        <f>'Opex Total(84 KTPA)'!D5/2*D7</f>
        <v>60880800</v>
      </c>
      <c r="E27" s="132">
        <f>'Opex Total(84 KTPA)'!E5/2*E7</f>
        <v>82392016</v>
      </c>
      <c r="F27" s="132">
        <f>'Opex Total(84 KTPA)'!F5/2*F7</f>
        <v>94081383.269999996</v>
      </c>
      <c r="G27" s="132">
        <f>'Opex Total(84 KTPA)'!G5/2*G7</f>
        <v>100797748.68677498</v>
      </c>
      <c r="H27" s="132">
        <f>'Opex Total(84 KTPA)'!H5*H7</f>
        <v>165849432.60241896</v>
      </c>
      <c r="I27" s="132">
        <f>'Opex Total(84 KTPA)'!I5*I7</f>
        <v>192385341.81880596</v>
      </c>
      <c r="J27" s="132">
        <f>'Opex Total(84 KTPA)'!J5*J7</f>
        <v>210804052.10089052</v>
      </c>
      <c r="K27" s="132">
        <f>'Opex Total(84 KTPA)'!K5*K7</f>
        <v>213966112.88240382</v>
      </c>
      <c r="L27" s="132">
        <f>'Opex Total(84 KTPA)'!L5*L7</f>
        <v>217175604.5756399</v>
      </c>
      <c r="M27" s="132">
        <f>'Opex Total(84 KTPA)'!M5*M7</f>
        <v>220433238.6442745</v>
      </c>
    </row>
    <row r="28" spans="1:13">
      <c r="A28" s="126"/>
      <c r="B28" s="126" t="s">
        <v>159</v>
      </c>
      <c r="C28" s="78">
        <f t="shared" ref="C28:C30" si="10">D28/D$32</f>
        <v>1.0562743306617037E-2</v>
      </c>
      <c r="D28" s="132">
        <f>'Opex Total(84 KTPA)'!D7/2*D7</f>
        <v>768000</v>
      </c>
      <c r="E28" s="132">
        <f>'Opex Total(84 KTPA)'!E7/2*E7</f>
        <v>1105920</v>
      </c>
      <c r="F28" s="132">
        <f>'Opex Total(84 KTPA)'!F7/2*F7</f>
        <v>1343692.8</v>
      </c>
      <c r="G28" s="132">
        <f>'Opex Total(84 KTPA)'!G7/2*G7</f>
        <v>1531809.7920000001</v>
      </c>
      <c r="H28" s="132">
        <f>'Opex Total(84 KTPA)'!H7*H7</f>
        <v>2681795.8379519996</v>
      </c>
      <c r="I28" s="132">
        <f>'Opex Total(84 KTPA)'!I7*I7</f>
        <v>3310102.2914150399</v>
      </c>
      <c r="J28" s="132">
        <f>'Opex Total(84 KTPA)'!J7</f>
        <v>4062398.2667366401</v>
      </c>
      <c r="K28" s="132">
        <f>'Opex Total(84 KTPA)'!K7*K7</f>
        <v>4168020.6216717921</v>
      </c>
      <c r="L28" s="132">
        <f>'Opex Total(84 KTPA)'!L7*L7</f>
        <v>4501462.2714055358</v>
      </c>
      <c r="M28" s="132">
        <f>'Opex Total(84 KTPA)'!M7*M7</f>
        <v>4861579.2531179786</v>
      </c>
    </row>
    <row r="29" spans="1:13">
      <c r="A29" s="126"/>
      <c r="B29" s="126" t="s">
        <v>160</v>
      </c>
      <c r="C29" s="78">
        <f t="shared" si="10"/>
        <v>8.3813359647620406E-2</v>
      </c>
      <c r="D29" s="132">
        <f>'Opex Total(84 KTPA)'!D9/2</f>
        <v>6093933.9659090908</v>
      </c>
      <c r="E29" s="132">
        <f>'Opex Total(84 KTPA)'!E9/2</f>
        <v>6197702.1404829547</v>
      </c>
      <c r="F29" s="132">
        <f>'Opex Total(84 KTPA)'!F9/2</f>
        <v>6303319.2972389916</v>
      </c>
      <c r="G29" s="132">
        <f>'Opex Total(84 KTPA)'!G9/2</f>
        <v>6410819.5860544788</v>
      </c>
      <c r="H29" s="132">
        <f>'Opex Total(84 KTPA)'!H9</f>
        <v>13040475.608864319</v>
      </c>
      <c r="I29" s="132">
        <f>'Opex Total(84 KTPA)'!I9</f>
        <v>13263218.820021205</v>
      </c>
      <c r="J29" s="132">
        <f>'Opex Total(84 KTPA)'!J9</f>
        <v>13489941.06663847</v>
      </c>
      <c r="K29" s="132">
        <f>'Opex Total(84 KTPA)'!K9</f>
        <v>13720715.981565794</v>
      </c>
      <c r="L29" s="132">
        <f>'Opex Total(84 KTPA)'!L9</f>
        <v>13955618.595961595</v>
      </c>
      <c r="M29" s="132">
        <f>'Opex Total(84 KTPA)'!M9</f>
        <v>14194725.366329867</v>
      </c>
    </row>
    <row r="30" spans="1:13">
      <c r="A30" s="126"/>
      <c r="B30" s="126" t="s">
        <v>161</v>
      </c>
      <c r="C30" s="78">
        <f t="shared" si="10"/>
        <v>6.0389149559551755E-3</v>
      </c>
      <c r="D30" s="132">
        <f>'Opex Segmental(84 KTPA)'!$D$13*'Cash Flow Epoxy Resin'!D7/2</f>
        <v>439079.74960142863</v>
      </c>
      <c r="E30" s="132">
        <f>'Opex Segmental(84 KTPA)'!$D$13*'Cash Flow Epoxy Resin'!E7/2</f>
        <v>585439.66613523825</v>
      </c>
      <c r="F30" s="132">
        <f>'Opex Segmental(84 KTPA)'!$D$13*'Cash Flow Epoxy Resin'!F7/2</f>
        <v>658619.62440214294</v>
      </c>
      <c r="G30" s="132">
        <f>'Opex Segmental(84 KTPA)'!$D$13*'Cash Flow Epoxy Resin'!G7/2</f>
        <v>695209.60353559535</v>
      </c>
      <c r="H30" s="132">
        <f>'Opex Segmental(84 KTPA)'!$D$13*'Cash Flow Epoxy Resin'!H7</f>
        <v>1126971.3573103335</v>
      </c>
      <c r="I30" s="132">
        <f>'Opex Segmental(84 KTPA)'!$D$13*'Cash Flow Epoxy Resin'!I7</f>
        <v>1287967.2654975241</v>
      </c>
      <c r="J30" s="132">
        <f>'Opex Segmental(84 KTPA)'!$D$13*'Cash Flow Epoxy Resin'!J7</f>
        <v>1390419.2070711907</v>
      </c>
      <c r="K30" s="132">
        <f t="shared" ref="K30:M31" si="11">J30*1.015</f>
        <v>1411275.4951772585</v>
      </c>
      <c r="L30" s="132">
        <f t="shared" si="11"/>
        <v>1432444.6276049172</v>
      </c>
      <c r="M30" s="132">
        <f t="shared" si="11"/>
        <v>1453931.2970189909</v>
      </c>
    </row>
    <row r="31" spans="1:13">
      <c r="A31" s="126"/>
      <c r="B31" s="126" t="s">
        <v>162</v>
      </c>
      <c r="C31" s="78">
        <f>D31/$D$32</f>
        <v>6.2256515030574895E-2</v>
      </c>
      <c r="D31" s="132">
        <f>'Opex Segmental(84 KTPA)'!$D$17*'Cash Flow Epoxy Resin'!D7/2</f>
        <v>4526570.6223807437</v>
      </c>
      <c r="E31" s="132">
        <f>'Opex Segmental(84 KTPA)'!$D$17*'Cash Flow Epoxy Resin'!E7/2</f>
        <v>6035427.4965076586</v>
      </c>
      <c r="F31" s="132">
        <f>'Opex Segmental(84 KTPA)'!$D$17*'Cash Flow Epoxy Resin'!F7/2</f>
        <v>6789855.9335711151</v>
      </c>
      <c r="G31" s="132">
        <f>'Opex Segmental(84 KTPA)'!$D$17*'Cash Flow Epoxy Resin'!G7/2</f>
        <v>7167070.1521028439</v>
      </c>
      <c r="H31" s="132">
        <f>'Opex Segmental(84 KTPA)'!$D$17*'Cash Flow Epoxy Resin'!H7</f>
        <v>11618197.930777242</v>
      </c>
      <c r="I31" s="132">
        <f>'Opex Segmental(84 KTPA)'!$D$17*'Cash Flow Epoxy Resin'!I7</f>
        <v>13277940.492316848</v>
      </c>
      <c r="J31" s="132">
        <f>'Opex Segmental(84 KTPA)'!$D$17*'Cash Flow Epoxy Resin'!J7</f>
        <v>14334140.304205688</v>
      </c>
      <c r="K31" s="132">
        <f t="shared" si="11"/>
        <v>14549152.408768771</v>
      </c>
      <c r="L31" s="132">
        <f t="shared" si="11"/>
        <v>14767389.694900302</v>
      </c>
      <c r="M31" s="132">
        <f t="shared" si="11"/>
        <v>14988900.540323805</v>
      </c>
    </row>
    <row r="32" spans="1:13" s="77" customFormat="1">
      <c r="A32" s="128"/>
      <c r="B32" s="128" t="s">
        <v>50</v>
      </c>
      <c r="C32" s="135"/>
      <c r="D32" s="135">
        <f t="shared" ref="D32:M32" si="12">SUM(D27:D31)</f>
        <v>72708384.337891266</v>
      </c>
      <c r="E32" s="135">
        <f t="shared" si="12"/>
        <v>96316505.303125858</v>
      </c>
      <c r="F32" s="135">
        <f t="shared" si="12"/>
        <v>109176870.92521223</v>
      </c>
      <c r="G32" s="135">
        <f t="shared" si="12"/>
        <v>116602657.82046789</v>
      </c>
      <c r="H32" s="135">
        <f t="shared" si="12"/>
        <v>194316873.33732283</v>
      </c>
      <c r="I32" s="135">
        <f t="shared" si="12"/>
        <v>223524570.68805659</v>
      </c>
      <c r="J32" s="135">
        <f t="shared" si="12"/>
        <v>244080950.94554248</v>
      </c>
      <c r="K32" s="135">
        <f t="shared" si="12"/>
        <v>247815277.38958746</v>
      </c>
      <c r="L32" s="135">
        <f t="shared" si="12"/>
        <v>251832519.76551229</v>
      </c>
      <c r="M32" s="135">
        <f t="shared" si="12"/>
        <v>255932375.10106516</v>
      </c>
    </row>
    <row r="33" spans="1:13">
      <c r="A33" s="126"/>
      <c r="B33" s="126"/>
      <c r="C33" s="132"/>
      <c r="D33" s="132"/>
      <c r="E33" s="132"/>
      <c r="F33" s="132"/>
      <c r="G33" s="132"/>
      <c r="H33" s="132"/>
      <c r="I33" s="132"/>
      <c r="J33" s="132"/>
      <c r="K33" s="132"/>
      <c r="L33" s="132"/>
      <c r="M33" s="132"/>
    </row>
    <row r="34" spans="1:13" s="77" customFormat="1">
      <c r="A34" s="130">
        <v>6</v>
      </c>
      <c r="B34" s="130" t="s">
        <v>51</v>
      </c>
      <c r="C34" s="140"/>
      <c r="D34" s="140">
        <f t="shared" ref="D34:M34" si="13">D8-D32</f>
        <v>16619358.502108738</v>
      </c>
      <c r="E34" s="140">
        <f t="shared" si="13"/>
        <v>24743819.784394115</v>
      </c>
      <c r="F34" s="140">
        <f t="shared" si="13"/>
        <v>28766941.789895892</v>
      </c>
      <c r="G34" s="140">
        <f t="shared" si="13"/>
        <v>31115460.006910622</v>
      </c>
      <c r="H34" s="140">
        <f t="shared" si="13"/>
        <v>61280255.514386415</v>
      </c>
      <c r="I34" s="140">
        <f t="shared" si="13"/>
        <v>58391815.349857867</v>
      </c>
      <c r="J34" s="140">
        <f t="shared" si="13"/>
        <v>64825725.460206419</v>
      </c>
      <c r="K34" s="140">
        <f t="shared" si="13"/>
        <v>65749974.66822958</v>
      </c>
      <c r="L34" s="140">
        <f t="shared" si="13"/>
        <v>66436211.073172033</v>
      </c>
      <c r="M34" s="140">
        <f t="shared" si="13"/>
        <v>67110386.700199366</v>
      </c>
    </row>
    <row r="35" spans="1:13">
      <c r="A35" s="126"/>
      <c r="B35" s="126"/>
      <c r="C35" s="132"/>
      <c r="D35" s="132"/>
      <c r="E35" s="132"/>
      <c r="F35" s="132"/>
      <c r="G35" s="132"/>
      <c r="H35" s="132"/>
      <c r="I35" s="132"/>
      <c r="J35" s="132"/>
      <c r="K35" s="132"/>
      <c r="L35" s="132"/>
      <c r="M35" s="132"/>
    </row>
    <row r="36" spans="1:13">
      <c r="A36" s="126">
        <v>7</v>
      </c>
      <c r="B36" s="126" t="s">
        <v>52</v>
      </c>
      <c r="C36" s="132"/>
      <c r="D36" s="132">
        <f>C4/10</f>
        <v>-3577145.4480000003</v>
      </c>
      <c r="E36" s="132">
        <f>D36</f>
        <v>-3577145.4480000003</v>
      </c>
      <c r="F36" s="132">
        <f t="shared" ref="F36:M36" si="14">E36</f>
        <v>-3577145.4480000003</v>
      </c>
      <c r="G36" s="132">
        <f t="shared" si="14"/>
        <v>-3577145.4480000003</v>
      </c>
      <c r="H36" s="132">
        <f t="shared" si="14"/>
        <v>-3577145.4480000003</v>
      </c>
      <c r="I36" s="132">
        <f t="shared" si="14"/>
        <v>-3577145.4480000003</v>
      </c>
      <c r="J36" s="132">
        <f t="shared" si="14"/>
        <v>-3577145.4480000003</v>
      </c>
      <c r="K36" s="132">
        <f t="shared" si="14"/>
        <v>-3577145.4480000003</v>
      </c>
      <c r="L36" s="132">
        <f t="shared" si="14"/>
        <v>-3577145.4480000003</v>
      </c>
      <c r="M36" s="132">
        <f t="shared" si="14"/>
        <v>-3577145.4480000003</v>
      </c>
    </row>
    <row r="37" spans="1:13">
      <c r="A37" s="126"/>
      <c r="B37" s="126"/>
      <c r="C37" s="132"/>
      <c r="D37" s="132"/>
      <c r="E37" s="132"/>
      <c r="F37" s="132"/>
      <c r="G37" s="132"/>
      <c r="H37" s="132"/>
      <c r="I37" s="132"/>
      <c r="J37" s="132"/>
      <c r="K37" s="132"/>
      <c r="L37" s="132"/>
      <c r="M37" s="132"/>
    </row>
    <row r="38" spans="1:13">
      <c r="A38" s="126">
        <v>8</v>
      </c>
      <c r="B38" s="126" t="s">
        <v>163</v>
      </c>
      <c r="C38" s="78">
        <v>0.3</v>
      </c>
      <c r="D38" s="132">
        <f>(D34-D36)*$C$38</f>
        <v>6058951.185032621</v>
      </c>
      <c r="E38" s="132">
        <f t="shared" ref="E38:M38" si="15">(E34-E36)*$C$38</f>
        <v>8496289.5697182342</v>
      </c>
      <c r="F38" s="132">
        <f t="shared" si="15"/>
        <v>9703226.1713687666</v>
      </c>
      <c r="G38" s="132">
        <f t="shared" si="15"/>
        <v>10407781.636473186</v>
      </c>
      <c r="H38" s="132">
        <f t="shared" si="15"/>
        <v>19457220.288715925</v>
      </c>
      <c r="I38" s="132">
        <f t="shared" si="15"/>
        <v>18590688.23935736</v>
      </c>
      <c r="J38" s="132">
        <f t="shared" si="15"/>
        <v>20520861.272461925</v>
      </c>
      <c r="K38" s="132">
        <f t="shared" si="15"/>
        <v>20798136.034868874</v>
      </c>
      <c r="L38" s="132">
        <f t="shared" si="15"/>
        <v>21004006.956351608</v>
      </c>
      <c r="M38" s="132">
        <f t="shared" si="15"/>
        <v>21206259.64445981</v>
      </c>
    </row>
    <row r="39" spans="1:13">
      <c r="A39" s="126"/>
      <c r="B39" s="126"/>
      <c r="C39" s="132"/>
      <c r="D39" s="132"/>
      <c r="E39" s="132"/>
      <c r="F39" s="132"/>
      <c r="G39" s="132"/>
      <c r="H39" s="132"/>
      <c r="I39" s="132"/>
      <c r="J39" s="132"/>
      <c r="K39" s="132"/>
      <c r="L39" s="132"/>
      <c r="M39" s="132"/>
    </row>
    <row r="40" spans="1:13" s="77" customFormat="1">
      <c r="A40" s="129"/>
      <c r="B40" s="129" t="s">
        <v>53</v>
      </c>
      <c r="C40" s="138">
        <f>C5</f>
        <v>-35771454.480000004</v>
      </c>
      <c r="D40" s="138">
        <f>D34-D36-D38</f>
        <v>14137552.765076116</v>
      </c>
      <c r="E40" s="138">
        <f t="shared" ref="E40:K40" si="16">E34-E36-E38</f>
        <v>19824675.66267588</v>
      </c>
      <c r="F40" s="138">
        <f t="shared" si="16"/>
        <v>22640861.066527124</v>
      </c>
      <c r="G40" s="138">
        <f t="shared" si="16"/>
        <v>24284823.818437435</v>
      </c>
      <c r="H40" s="138">
        <f t="shared" si="16"/>
        <v>45400180.673670486</v>
      </c>
      <c r="I40" s="138">
        <f t="shared" si="16"/>
        <v>43378272.558500506</v>
      </c>
      <c r="J40" s="138">
        <f t="shared" si="16"/>
        <v>47882009.635744497</v>
      </c>
      <c r="K40" s="138">
        <f t="shared" si="16"/>
        <v>48528984.081360705</v>
      </c>
      <c r="L40" s="138">
        <f>L34-L36-L38</f>
        <v>49009349.564820424</v>
      </c>
      <c r="M40" s="138">
        <f>M34-M36-M38</f>
        <v>49481272.503739551</v>
      </c>
    </row>
    <row r="41" spans="1:13">
      <c r="A41" s="126"/>
      <c r="B41" s="126"/>
      <c r="C41" s="132"/>
      <c r="D41" s="132"/>
      <c r="E41" s="132"/>
      <c r="F41" s="132"/>
      <c r="G41" s="132"/>
      <c r="H41" s="132"/>
      <c r="I41" s="132"/>
      <c r="J41" s="132"/>
      <c r="K41" s="132"/>
      <c r="L41" s="132"/>
      <c r="M41" s="132"/>
    </row>
    <row r="42" spans="1:13">
      <c r="A42" s="126"/>
      <c r="B42" s="126" t="s">
        <v>234</v>
      </c>
      <c r="C42" s="132">
        <v>1</v>
      </c>
      <c r="D42" s="141">
        <f>C42/(1+0.1)</f>
        <v>0.90909090909090906</v>
      </c>
      <c r="E42" s="141">
        <f>D42/(1+0.1)</f>
        <v>0.82644628099173545</v>
      </c>
      <c r="F42" s="141">
        <f t="shared" ref="F42:M42" si="17">E42/(1+0.1)</f>
        <v>0.75131480090157765</v>
      </c>
      <c r="G42" s="141">
        <f t="shared" si="17"/>
        <v>0.68301345536507052</v>
      </c>
      <c r="H42" s="141">
        <f t="shared" si="17"/>
        <v>0.62092132305915493</v>
      </c>
      <c r="I42" s="141">
        <f t="shared" si="17"/>
        <v>0.56447393005377711</v>
      </c>
      <c r="J42" s="141">
        <f t="shared" si="17"/>
        <v>0.51315811823070645</v>
      </c>
      <c r="K42" s="141">
        <f t="shared" si="17"/>
        <v>0.46650738020973309</v>
      </c>
      <c r="L42" s="141">
        <f t="shared" si="17"/>
        <v>0.42409761837248461</v>
      </c>
      <c r="M42" s="141">
        <f t="shared" si="17"/>
        <v>0.38554328942953142</v>
      </c>
    </row>
    <row r="43" spans="1:13">
      <c r="A43" s="126"/>
      <c r="B43" s="126" t="s">
        <v>164</v>
      </c>
      <c r="C43" s="142">
        <f t="shared" ref="C43:M43" si="18">C40*C42</f>
        <v>-35771454.480000004</v>
      </c>
      <c r="D43" s="142">
        <f>D40*D42</f>
        <v>12852320.695523741</v>
      </c>
      <c r="E43" s="142">
        <f t="shared" si="18"/>
        <v>16384029.47328585</v>
      </c>
      <c r="F43" s="142">
        <f t="shared" si="18"/>
        <v>17010414.024438109</v>
      </c>
      <c r="G43" s="142">
        <f t="shared" si="18"/>
        <v>16586861.429162918</v>
      </c>
      <c r="H43" s="142">
        <f t="shared" si="18"/>
        <v>28189940.251020152</v>
      </c>
      <c r="I43" s="142">
        <f t="shared" si="18"/>
        <v>24485903.990040693</v>
      </c>
      <c r="J43" s="142">
        <f t="shared" si="18"/>
        <v>24571041.961783201</v>
      </c>
      <c r="K43" s="142">
        <f t="shared" si="18"/>
        <v>22639129.228035424</v>
      </c>
      <c r="L43" s="142">
        <f t="shared" si="18"/>
        <v>20784748.428424906</v>
      </c>
      <c r="M43" s="142">
        <f t="shared" si="18"/>
        <v>19077172.566250771</v>
      </c>
    </row>
    <row r="44" spans="1:13">
      <c r="A44" s="126"/>
      <c r="B44" s="126" t="s">
        <v>165</v>
      </c>
      <c r="C44" s="142">
        <f>C40</f>
        <v>-35771454.480000004</v>
      </c>
      <c r="D44" s="142">
        <f>D40</f>
        <v>14137552.765076116</v>
      </c>
      <c r="E44" s="142">
        <f t="shared" ref="E44:M44" si="19">E40</f>
        <v>19824675.66267588</v>
      </c>
      <c r="F44" s="142">
        <f t="shared" si="19"/>
        <v>22640861.066527124</v>
      </c>
      <c r="G44" s="142">
        <f t="shared" si="19"/>
        <v>24284823.818437435</v>
      </c>
      <c r="H44" s="142">
        <f t="shared" si="19"/>
        <v>45400180.673670486</v>
      </c>
      <c r="I44" s="142">
        <f t="shared" si="19"/>
        <v>43378272.558500506</v>
      </c>
      <c r="J44" s="142">
        <f t="shared" si="19"/>
        <v>47882009.635744497</v>
      </c>
      <c r="K44" s="142">
        <f t="shared" si="19"/>
        <v>48528984.081360705</v>
      </c>
      <c r="L44" s="142">
        <f t="shared" si="19"/>
        <v>49009349.564820424</v>
      </c>
      <c r="M44" s="142">
        <f t="shared" si="19"/>
        <v>49481272.503739551</v>
      </c>
    </row>
    <row r="45" spans="1:13">
      <c r="A45" s="126"/>
      <c r="B45" s="126" t="s">
        <v>166</v>
      </c>
      <c r="C45" s="142">
        <f>C44</f>
        <v>-35771454.480000004</v>
      </c>
      <c r="D45" s="142">
        <f>C44+D40</f>
        <v>-21633901.714923888</v>
      </c>
      <c r="E45" s="142">
        <f>D45+E40</f>
        <v>-1809226.0522480085</v>
      </c>
      <c r="F45" s="142">
        <f t="shared" ref="F45:M45" si="20">E45+F40</f>
        <v>20831635.014279116</v>
      </c>
      <c r="G45" s="142">
        <f t="shared" si="20"/>
        <v>45116458.832716554</v>
      </c>
      <c r="H45" s="142">
        <f t="shared" si="20"/>
        <v>90516639.50638704</v>
      </c>
      <c r="I45" s="142">
        <f t="shared" si="20"/>
        <v>133894912.06488755</v>
      </c>
      <c r="J45" s="142">
        <f t="shared" si="20"/>
        <v>181776921.70063204</v>
      </c>
      <c r="K45" s="142">
        <f t="shared" si="20"/>
        <v>230305905.78199273</v>
      </c>
      <c r="L45" s="142">
        <f t="shared" si="20"/>
        <v>279315255.34681314</v>
      </c>
      <c r="M45" s="142">
        <f t="shared" si="20"/>
        <v>328796527.85055268</v>
      </c>
    </row>
    <row r="46" spans="1:13">
      <c r="A46" s="126"/>
      <c r="B46" s="126"/>
      <c r="C46" s="132"/>
      <c r="D46" s="142"/>
      <c r="E46" s="142"/>
      <c r="F46" s="142"/>
      <c r="G46" s="142"/>
      <c r="H46" s="142"/>
      <c r="I46" s="142"/>
      <c r="J46" s="142"/>
      <c r="K46" s="142"/>
      <c r="L46" s="142"/>
      <c r="M46" s="142"/>
    </row>
    <row r="47" spans="1:13" ht="15.75" thickBot="1">
      <c r="A47" s="126"/>
      <c r="B47" s="143"/>
      <c r="C47" s="144"/>
      <c r="D47" s="142"/>
      <c r="E47" s="142"/>
      <c r="F47" s="142"/>
      <c r="G47" s="142"/>
      <c r="H47" s="142"/>
      <c r="I47" s="142"/>
      <c r="J47" s="142"/>
      <c r="K47" s="142"/>
      <c r="L47" s="142"/>
      <c r="M47" s="142"/>
    </row>
    <row r="48" spans="1:13">
      <c r="A48" s="131"/>
      <c r="B48" s="145" t="s">
        <v>167</v>
      </c>
      <c r="C48" s="188">
        <f>NPV(10%,(D40:M40))+C40</f>
        <v>166810107.56796581</v>
      </c>
      <c r="D48" s="146"/>
      <c r="E48" s="132"/>
      <c r="F48" s="132"/>
      <c r="G48" s="132"/>
      <c r="H48" s="132"/>
      <c r="I48" s="132"/>
      <c r="J48" s="132"/>
      <c r="K48" s="132"/>
      <c r="L48" s="132"/>
      <c r="M48" s="132"/>
    </row>
    <row r="49" spans="1:13">
      <c r="A49" s="131"/>
      <c r="B49" s="147" t="s">
        <v>55</v>
      </c>
      <c r="C49" s="302">
        <f>IRR(C40:M40,0.1)</f>
        <v>0.61352603053092647</v>
      </c>
      <c r="D49" s="146"/>
      <c r="E49" s="132"/>
      <c r="F49" s="132"/>
      <c r="G49" s="132"/>
      <c r="H49" s="132"/>
      <c r="I49" s="132"/>
      <c r="J49" s="132"/>
      <c r="K49" s="132"/>
      <c r="L49" s="132"/>
      <c r="M49" s="132"/>
    </row>
    <row r="50" spans="1:13" ht="15.75" thickBot="1">
      <c r="A50" s="131"/>
      <c r="B50" s="148" t="s">
        <v>168</v>
      </c>
      <c r="C50" s="303">
        <f>IF(SUM(D53:M53)&lt;10,SUM(D53:M53)," N/A ")</f>
        <v>2.0799097722887767</v>
      </c>
      <c r="D50" s="146"/>
      <c r="E50" s="132"/>
      <c r="F50" s="132"/>
      <c r="G50" s="132"/>
      <c r="H50" s="132"/>
      <c r="I50" s="132"/>
      <c r="J50" s="132"/>
      <c r="K50" s="132"/>
      <c r="L50" s="132"/>
      <c r="M50" s="132"/>
    </row>
    <row r="51" spans="1:13">
      <c r="C51" s="149"/>
      <c r="D51" s="79">
        <v>1</v>
      </c>
      <c r="E51" s="79">
        <v>2</v>
      </c>
      <c r="F51" s="79">
        <v>3</v>
      </c>
      <c r="G51" s="79">
        <v>4</v>
      </c>
      <c r="H51" s="79">
        <v>5</v>
      </c>
      <c r="I51" s="79">
        <v>6</v>
      </c>
      <c r="J51" s="79">
        <v>7</v>
      </c>
      <c r="K51" s="79">
        <v>8</v>
      </c>
      <c r="L51" s="79">
        <v>9</v>
      </c>
      <c r="M51" s="79">
        <v>10</v>
      </c>
    </row>
    <row r="52" spans="1:13">
      <c r="C52" s="80"/>
      <c r="D52" s="194">
        <f t="shared" ref="D52:M52" si="21">IF(D45&lt;0,1,IF(D44=0,0,-C45/D44))</f>
        <v>1</v>
      </c>
      <c r="E52" s="81">
        <f t="shared" si="21"/>
        <v>1</v>
      </c>
      <c r="F52" s="81">
        <f t="shared" si="21"/>
        <v>7.990977228877652E-2</v>
      </c>
      <c r="G52" s="81">
        <f t="shared" si="21"/>
        <v>-0.85780465899297154</v>
      </c>
      <c r="H52" s="81">
        <f t="shared" si="21"/>
        <v>-0.99375064511321487</v>
      </c>
      <c r="I52" s="81">
        <f t="shared" si="21"/>
        <v>-2.0866815151367568</v>
      </c>
      <c r="J52" s="81">
        <f t="shared" si="21"/>
        <v>-2.7963511365432203</v>
      </c>
      <c r="K52" s="81">
        <f t="shared" si="21"/>
        <v>-3.7457392760556463</v>
      </c>
      <c r="L52" s="81">
        <f t="shared" si="21"/>
        <v>-4.6992238792597529</v>
      </c>
      <c r="M52" s="81">
        <f t="shared" si="21"/>
        <v>-5.6448680725764255</v>
      </c>
    </row>
    <row r="53" spans="1:13">
      <c r="D53" s="195">
        <f t="shared" ref="D53:M53" si="22">IF(D52&gt;0,D52,0)</f>
        <v>1</v>
      </c>
      <c r="E53" s="82">
        <f t="shared" si="22"/>
        <v>1</v>
      </c>
      <c r="F53" s="82">
        <f t="shared" si="22"/>
        <v>7.990977228877652E-2</v>
      </c>
      <c r="G53" s="82">
        <f t="shared" si="22"/>
        <v>0</v>
      </c>
      <c r="H53" s="82">
        <f t="shared" si="22"/>
        <v>0</v>
      </c>
      <c r="I53" s="82">
        <f t="shared" si="22"/>
        <v>0</v>
      </c>
      <c r="J53" s="82">
        <f t="shared" si="22"/>
        <v>0</v>
      </c>
      <c r="K53" s="82">
        <f t="shared" si="22"/>
        <v>0</v>
      </c>
      <c r="L53" s="82">
        <f t="shared" si="22"/>
        <v>0</v>
      </c>
      <c r="M53" s="82">
        <f t="shared" si="22"/>
        <v>0</v>
      </c>
    </row>
    <row r="54" spans="1:13">
      <c r="A54" s="88"/>
      <c r="B54" t="s">
        <v>399</v>
      </c>
      <c r="D54" s="195"/>
      <c r="E54" s="82"/>
      <c r="F54" s="82"/>
      <c r="G54" s="82"/>
      <c r="H54" s="82"/>
      <c r="I54" s="82"/>
      <c r="J54" s="82"/>
      <c r="K54" s="82"/>
      <c r="L54" s="82"/>
      <c r="M54" s="82"/>
    </row>
    <row r="55" spans="1:13">
      <c r="B55" s="333" t="s">
        <v>402</v>
      </c>
    </row>
    <row r="56" spans="1:13">
      <c r="B56" s="333" t="s">
        <v>403</v>
      </c>
    </row>
    <row r="57" spans="1:13">
      <c r="B57" t="s">
        <v>225</v>
      </c>
      <c r="H57" s="83"/>
      <c r="I57" s="83"/>
      <c r="J57" s="83"/>
      <c r="K57" s="83"/>
      <c r="L57" s="83"/>
      <c r="M57" s="83"/>
    </row>
    <row r="58" spans="1:13">
      <c r="A58" s="88"/>
      <c r="B58" t="s">
        <v>229</v>
      </c>
      <c r="H58" s="83"/>
      <c r="I58" s="83"/>
      <c r="J58" s="83"/>
      <c r="K58" s="83"/>
      <c r="L58" s="83"/>
      <c r="M58" s="83"/>
    </row>
    <row r="59" spans="1:13">
      <c r="A59" s="88"/>
      <c r="B59" t="s">
        <v>400</v>
      </c>
      <c r="H59" s="83"/>
      <c r="I59" s="83"/>
      <c r="J59" s="83"/>
      <c r="K59" s="83"/>
      <c r="L59" s="83"/>
      <c r="M59" s="83"/>
    </row>
    <row r="60" spans="1:13">
      <c r="B60" t="s">
        <v>227</v>
      </c>
    </row>
    <row r="61" spans="1:13">
      <c r="C61" s="2" t="s">
        <v>236</v>
      </c>
      <c r="D61" s="181">
        <v>0.53</v>
      </c>
      <c r="F61" s="172"/>
      <c r="G61" s="172"/>
    </row>
    <row r="62" spans="1:13">
      <c r="C62" s="2" t="s">
        <v>237</v>
      </c>
      <c r="D62" s="181">
        <v>0.24</v>
      </c>
      <c r="F62" s="172"/>
      <c r="G62" s="172"/>
    </row>
    <row r="63" spans="1:13">
      <c r="C63" s="2" t="s">
        <v>238</v>
      </c>
      <c r="D63" s="181">
        <v>0.23</v>
      </c>
      <c r="G63" s="172"/>
    </row>
    <row r="65" spans="2:12">
      <c r="B65" t="s">
        <v>230</v>
      </c>
    </row>
    <row r="66" spans="2:12">
      <c r="B66" t="s">
        <v>231</v>
      </c>
    </row>
    <row r="67" spans="2:12">
      <c r="B67" t="s">
        <v>401</v>
      </c>
      <c r="E67" s="359"/>
      <c r="F67" s="359"/>
      <c r="G67" s="359"/>
      <c r="H67" s="359"/>
      <c r="I67" s="359"/>
      <c r="J67" s="359"/>
    </row>
    <row r="68" spans="2:12">
      <c r="E68" s="360"/>
      <c r="F68" s="360"/>
      <c r="G68" s="360"/>
      <c r="H68" s="360"/>
      <c r="I68" s="360"/>
      <c r="J68" s="360"/>
    </row>
    <row r="69" spans="2:12">
      <c r="E69" s="83"/>
      <c r="F69" s="83"/>
      <c r="G69" s="84"/>
      <c r="H69" s="84"/>
      <c r="I69" s="84"/>
      <c r="J69" s="84"/>
      <c r="L69" s="84"/>
    </row>
    <row r="70" spans="2:12">
      <c r="E70" s="85"/>
      <c r="F70" s="357"/>
      <c r="G70" s="357"/>
      <c r="H70" s="357"/>
      <c r="I70" s="357"/>
      <c r="J70" s="357"/>
    </row>
    <row r="71" spans="2:12">
      <c r="E71" s="83"/>
      <c r="F71" s="84"/>
      <c r="G71" s="84"/>
      <c r="H71" s="84"/>
      <c r="I71" s="84"/>
      <c r="J71" s="84"/>
      <c r="L71" s="84"/>
    </row>
    <row r="72" spans="2:12">
      <c r="E72" s="83"/>
      <c r="F72" s="83"/>
      <c r="G72" s="83"/>
      <c r="H72" s="83"/>
      <c r="I72" s="83"/>
      <c r="J72" s="83"/>
      <c r="L72" s="83"/>
    </row>
    <row r="73" spans="2:12">
      <c r="E73" s="85"/>
      <c r="F73" s="357"/>
      <c r="G73" s="357"/>
      <c r="H73" s="357"/>
      <c r="I73" s="357"/>
      <c r="J73" s="357"/>
    </row>
    <row r="74" spans="2:12">
      <c r="E74" s="83"/>
      <c r="F74" s="84"/>
      <c r="G74" s="84"/>
      <c r="H74" s="84"/>
      <c r="I74" s="84"/>
      <c r="J74" s="84"/>
      <c r="L74" s="84"/>
    </row>
    <row r="75" spans="2:12">
      <c r="E75" s="83"/>
      <c r="F75" s="83"/>
      <c r="G75" s="83"/>
      <c r="H75" s="83"/>
      <c r="I75" s="83"/>
      <c r="J75" s="83"/>
      <c r="L75" s="83"/>
    </row>
    <row r="76" spans="2:12">
      <c r="E76" s="85"/>
      <c r="F76" s="357"/>
      <c r="G76" s="357"/>
      <c r="H76" s="357"/>
      <c r="I76" s="357"/>
      <c r="J76" s="357"/>
    </row>
    <row r="77" spans="2:12">
      <c r="E77" s="83"/>
      <c r="F77" s="84"/>
      <c r="G77" s="84"/>
      <c r="H77" s="84"/>
      <c r="I77" s="84"/>
      <c r="J77" s="84"/>
      <c r="L77" s="84"/>
    </row>
    <row r="78" spans="2:12">
      <c r="E78" s="83"/>
      <c r="F78" s="83"/>
      <c r="G78" s="83"/>
      <c r="H78" s="83"/>
      <c r="I78" s="83"/>
      <c r="J78" s="83"/>
      <c r="L78" s="83"/>
    </row>
  </sheetData>
  <mergeCells count="6">
    <mergeCell ref="F76:J76"/>
    <mergeCell ref="D1:M1"/>
    <mergeCell ref="E67:J67"/>
    <mergeCell ref="E68:J68"/>
    <mergeCell ref="F70:J70"/>
    <mergeCell ref="F73:J73"/>
  </mergeCells>
  <hyperlinks>
    <hyperlink ref="B48" r:id="rId1" display="NPV@12%" xr:uid="{0BB7C041-A4AB-43FA-B143-B912C3F05368}"/>
  </hyperlinks>
  <pageMargins left="0.7" right="0.7" top="0.75" bottom="0.75" header="0.3" footer="0.3"/>
  <pageSetup orientation="portrait" r:id="rId2"/>
  <ignoredErrors>
    <ignoredError sqref="E11:H11 E13:H13" formula="1"/>
  </ignoredError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C8401-7663-453E-8EB8-DBA5B6BBAC0E}">
  <dimension ref="A1:O50"/>
  <sheetViews>
    <sheetView zoomScale="91" workbookViewId="0">
      <selection activeCell="D10" sqref="D10"/>
    </sheetView>
  </sheetViews>
  <sheetFormatPr defaultRowHeight="15"/>
  <cols>
    <col min="1" max="1" width="9.28515625" bestFit="1" customWidth="1"/>
    <col min="2" max="2" width="61.85546875" bestFit="1" customWidth="1"/>
    <col min="3" max="3" width="17.5703125" customWidth="1"/>
    <col min="4" max="5" width="13.42578125" bestFit="1" customWidth="1"/>
    <col min="6" max="6" width="11.7109375" bestFit="1" customWidth="1"/>
    <col min="7" max="9" width="13.42578125" bestFit="1" customWidth="1"/>
    <col min="10" max="10" width="16.42578125" bestFit="1" customWidth="1"/>
    <col min="11" max="13" width="11.5703125" bestFit="1" customWidth="1"/>
  </cols>
  <sheetData>
    <row r="1" spans="1:13" ht="15.75" thickBot="1"/>
    <row r="2" spans="1:13" ht="15.75" thickBot="1">
      <c r="A2" s="13"/>
      <c r="B2" s="13"/>
      <c r="C2" s="364" t="s">
        <v>110</v>
      </c>
      <c r="D2" s="365"/>
      <c r="E2" s="365"/>
      <c r="F2" s="365"/>
      <c r="G2" s="365"/>
      <c r="H2" s="365"/>
      <c r="I2" s="365"/>
      <c r="J2" s="365"/>
      <c r="K2" s="365"/>
      <c r="L2" s="365"/>
      <c r="M2" s="365"/>
    </row>
    <row r="3" spans="1:13" ht="15.75" thickBot="1">
      <c r="A3" s="12"/>
      <c r="B3" s="15" t="s">
        <v>41</v>
      </c>
      <c r="C3" s="14" t="s">
        <v>42</v>
      </c>
      <c r="D3" s="361" t="s">
        <v>43</v>
      </c>
      <c r="E3" s="362"/>
      <c r="F3" s="362"/>
      <c r="G3" s="362"/>
      <c r="H3" s="362"/>
      <c r="I3" s="362"/>
      <c r="J3" s="362"/>
      <c r="K3" s="363"/>
    </row>
    <row r="4" spans="1:13" ht="15.75" thickBot="1">
      <c r="A4" s="16" t="s">
        <v>1</v>
      </c>
      <c r="B4" s="16" t="s">
        <v>44</v>
      </c>
      <c r="C4" s="18">
        <v>0</v>
      </c>
      <c r="D4" s="19">
        <v>1</v>
      </c>
      <c r="E4" s="19">
        <v>2</v>
      </c>
      <c r="F4" s="19">
        <v>3</v>
      </c>
      <c r="G4" s="19">
        <v>4</v>
      </c>
      <c r="H4" s="19">
        <v>5</v>
      </c>
      <c r="I4" s="19">
        <v>6</v>
      </c>
      <c r="J4" s="20">
        <v>7</v>
      </c>
      <c r="K4" s="20">
        <v>8</v>
      </c>
      <c r="L4" s="20">
        <v>9</v>
      </c>
      <c r="M4" s="20">
        <v>10</v>
      </c>
    </row>
    <row r="5" spans="1:13" ht="15.75" thickBot="1">
      <c r="A5" s="2"/>
      <c r="B5" s="2"/>
      <c r="C5" s="21"/>
      <c r="D5" s="22"/>
      <c r="E5" s="22"/>
      <c r="F5" s="22"/>
      <c r="G5" s="22"/>
      <c r="H5" s="22"/>
      <c r="I5" s="22"/>
      <c r="J5" s="23"/>
      <c r="K5" s="2"/>
    </row>
    <row r="6" spans="1:13" ht="15.75" thickBot="1">
      <c r="A6" s="2">
        <v>1</v>
      </c>
      <c r="B6" s="2" t="s">
        <v>116</v>
      </c>
      <c r="C6" s="21"/>
      <c r="D6" s="22"/>
      <c r="E6" s="22"/>
      <c r="F6" s="22"/>
      <c r="G6" s="22"/>
      <c r="H6" s="22"/>
      <c r="I6" s="22"/>
      <c r="J6" s="24"/>
      <c r="K6" s="2"/>
    </row>
    <row r="7" spans="1:13" ht="15.75" thickBot="1">
      <c r="A7" s="2"/>
      <c r="B7" s="2" t="s">
        <v>117</v>
      </c>
      <c r="C7" s="54">
        <f>Capex!D19</f>
        <v>35771454.480000004</v>
      </c>
      <c r="D7" s="22"/>
      <c r="E7" s="22"/>
      <c r="F7" s="22"/>
      <c r="G7" s="22"/>
      <c r="H7" s="22"/>
      <c r="I7" s="22"/>
      <c r="J7" s="24"/>
      <c r="K7" s="2"/>
    </row>
    <row r="8" spans="1:13" ht="15.75" thickBot="1">
      <c r="A8" s="2"/>
      <c r="B8" s="2"/>
      <c r="C8" s="57"/>
      <c r="D8" s="71" t="s">
        <v>145</v>
      </c>
      <c r="E8" s="71" t="s">
        <v>146</v>
      </c>
      <c r="F8" s="71" t="s">
        <v>147</v>
      </c>
      <c r="G8" s="71" t="s">
        <v>147</v>
      </c>
      <c r="H8" s="71" t="s">
        <v>148</v>
      </c>
      <c r="I8" s="71" t="s">
        <v>149</v>
      </c>
      <c r="J8" s="71" t="s">
        <v>150</v>
      </c>
      <c r="K8" s="2" t="s">
        <v>156</v>
      </c>
      <c r="L8" s="2" t="s">
        <v>156</v>
      </c>
      <c r="M8" s="2" t="s">
        <v>156</v>
      </c>
    </row>
    <row r="9" spans="1:13" ht="15.75" thickBot="1">
      <c r="A9" s="2">
        <v>2</v>
      </c>
      <c r="B9" s="2" t="s">
        <v>45</v>
      </c>
      <c r="C9" s="21"/>
      <c r="D9" s="58">
        <f>3.03*42000*0.6*1000</f>
        <v>76355999.999999985</v>
      </c>
      <c r="E9" s="58">
        <f>3.08*42000*0.8*1000</f>
        <v>103488000</v>
      </c>
      <c r="F9" s="58">
        <f>3.12*42000*0.95*1000</f>
        <v>124488000</v>
      </c>
      <c r="G9" s="58">
        <f>3.17*42000*0.95*1000</f>
        <v>126483000</v>
      </c>
      <c r="H9" s="58">
        <f>3.22*84000*0.7*1000</f>
        <v>189336000</v>
      </c>
      <c r="I9" s="58">
        <f>3.26*84000*0.8*1000</f>
        <v>219072000</v>
      </c>
      <c r="J9" s="58">
        <f>3.03*84000*0.9*1000</f>
        <v>229067999.99999997</v>
      </c>
      <c r="K9" s="58">
        <f>3.03*84000*0.95*1000</f>
        <v>241793999.99999997</v>
      </c>
      <c r="L9" s="58">
        <f>3.03*84000*0.95*1000</f>
        <v>241793999.99999997</v>
      </c>
      <c r="M9" s="58">
        <f>3.03*84000*0.95*1000</f>
        <v>241793999.99999997</v>
      </c>
    </row>
    <row r="10" spans="1:13" ht="15.75" thickBot="1">
      <c r="A10" s="2"/>
      <c r="B10" s="73" t="s">
        <v>151</v>
      </c>
      <c r="C10" s="21"/>
      <c r="D10" s="58">
        <f>42*0.6</f>
        <v>25.2</v>
      </c>
      <c r="E10" s="58">
        <f>42*0.8</f>
        <v>33.6</v>
      </c>
      <c r="F10" s="58">
        <f>42*0.95</f>
        <v>39.9</v>
      </c>
      <c r="G10" s="58">
        <f>42*0.95</f>
        <v>39.9</v>
      </c>
      <c r="H10" s="58">
        <f>84*0.7</f>
        <v>58.8</v>
      </c>
      <c r="I10" s="58">
        <f>84*0.8</f>
        <v>67.2</v>
      </c>
      <c r="J10" s="58">
        <f>84*0.9</f>
        <v>75.600000000000009</v>
      </c>
      <c r="K10" s="2">
        <f>84*0.95</f>
        <v>79.8</v>
      </c>
      <c r="L10" s="2">
        <f>84*0.95</f>
        <v>79.8</v>
      </c>
      <c r="M10" s="2">
        <f>84*0.95</f>
        <v>79.8</v>
      </c>
    </row>
    <row r="11" spans="1:13" ht="15.75" thickBot="1">
      <c r="A11" s="2"/>
      <c r="B11" s="73" t="s">
        <v>152</v>
      </c>
      <c r="C11" s="21"/>
      <c r="D11" s="72">
        <v>3.03</v>
      </c>
      <c r="E11" s="72">
        <f>D11*1.015</f>
        <v>3.0754499999999996</v>
      </c>
      <c r="F11" s="72">
        <f t="shared" ref="F11:M11" si="0">E11*1.015</f>
        <v>3.1215817499999994</v>
      </c>
      <c r="G11" s="72">
        <f t="shared" si="0"/>
        <v>3.1684054762499989</v>
      </c>
      <c r="H11" s="72">
        <f t="shared" si="0"/>
        <v>3.2159315583937484</v>
      </c>
      <c r="I11" s="72">
        <f t="shared" si="0"/>
        <v>3.2641705317696545</v>
      </c>
      <c r="J11" s="72">
        <f t="shared" si="0"/>
        <v>3.313133089746199</v>
      </c>
      <c r="K11" s="72">
        <f t="shared" si="0"/>
        <v>3.3628300860923916</v>
      </c>
      <c r="L11" s="72">
        <f t="shared" si="0"/>
        <v>3.4132725373837771</v>
      </c>
      <c r="M11" s="72">
        <f t="shared" si="0"/>
        <v>3.4644716254445336</v>
      </c>
    </row>
    <row r="12" spans="1:13" ht="15.75" thickBot="1">
      <c r="A12" s="2"/>
      <c r="B12" s="73"/>
      <c r="C12" s="21"/>
      <c r="D12" s="75"/>
      <c r="E12" s="72"/>
      <c r="F12" s="72"/>
      <c r="G12" s="72"/>
      <c r="H12" s="72"/>
      <c r="I12" s="72"/>
      <c r="J12" s="72"/>
      <c r="K12" s="2"/>
      <c r="L12" s="33"/>
    </row>
    <row r="13" spans="1:13" ht="15.75" thickBot="1">
      <c r="A13" s="2">
        <v>3</v>
      </c>
      <c r="B13" s="63" t="s">
        <v>153</v>
      </c>
      <c r="C13" s="21"/>
      <c r="D13" s="74">
        <f>SUM(D14:D16)</f>
        <v>8707980.9322281163</v>
      </c>
      <c r="E13" s="74">
        <f t="shared" ref="E13:M13" si="1">SUM(E14:E16)</f>
        <v>3275921.3860113979</v>
      </c>
      <c r="F13" s="74">
        <f t="shared" si="1"/>
        <v>1718351.4766923231</v>
      </c>
      <c r="G13" s="74">
        <f t="shared" si="1"/>
        <v>996396.43802343402</v>
      </c>
      <c r="H13" s="74">
        <f t="shared" si="1"/>
        <v>11346066.290285466</v>
      </c>
      <c r="I13" s="74">
        <f t="shared" si="1"/>
        <v>1925820.5771241086</v>
      </c>
      <c r="J13" s="74">
        <f t="shared" si="1"/>
        <v>2747194.5598506583</v>
      </c>
      <c r="K13" s="74">
        <f t="shared" si="1"/>
        <v>458862.31726777798</v>
      </c>
      <c r="L13" s="74">
        <f t="shared" si="1"/>
        <v>442990.28924463538</v>
      </c>
      <c r="M13" s="74">
        <f t="shared" si="1"/>
        <v>447797.80188555107</v>
      </c>
    </row>
    <row r="14" spans="1:13" ht="15.75" thickBot="1">
      <c r="A14" s="2"/>
      <c r="B14" s="2" t="s">
        <v>154</v>
      </c>
      <c r="C14" s="21"/>
      <c r="D14" s="76">
        <f>'Working sheet'!E5</f>
        <v>14684012.521643836</v>
      </c>
      <c r="E14" s="76">
        <f>'Working sheet'!F5</f>
        <v>5216314.8900032826</v>
      </c>
      <c r="F14" s="76">
        <f>'Working sheet'!G5</f>
        <v>2775367.8291925732</v>
      </c>
      <c r="G14" s="76">
        <f>'Working sheet'!H5</f>
        <v>1606735.0869485564</v>
      </c>
      <c r="H14" s="76">
        <f>'Working sheet'!I5</f>
        <v>17733536.058794092</v>
      </c>
      <c r="I14" s="76">
        <f>'Working sheet'!J5</f>
        <v>4326453.2360885274</v>
      </c>
      <c r="J14" s="76">
        <f>'Working sheet'!K5</f>
        <v>4436760.0604659375</v>
      </c>
      <c r="K14" s="76">
        <f>'Working sheet'!L5</f>
        <v>765793.25787421444</v>
      </c>
      <c r="L14" s="76">
        <f>'Working sheet'!M5</f>
        <v>773174.59411516902</v>
      </c>
      <c r="M14" s="76">
        <f>'Working sheet'!N5</f>
        <v>784772.21302688285</v>
      </c>
    </row>
    <row r="15" spans="1:13" ht="15.75" thickBot="1">
      <c r="A15" s="2"/>
      <c r="B15" s="2" t="s">
        <v>46</v>
      </c>
      <c r="C15" s="21"/>
      <c r="D15" s="76">
        <f>'Working sheet'!E10</f>
        <v>5976031.5894157207</v>
      </c>
      <c r="E15" s="76">
        <f>'Working sheet'!F10</f>
        <v>1940393.5039918844</v>
      </c>
      <c r="F15" s="76">
        <f>'Working sheet'!G10</f>
        <v>1057016.3525002501</v>
      </c>
      <c r="G15" s="76">
        <f>'Working sheet'!H10</f>
        <v>610338.64892512234</v>
      </c>
      <c r="H15" s="76">
        <f>'Working sheet'!I10</f>
        <v>6387469.7685086252</v>
      </c>
      <c r="I15" s="76">
        <f>'Working sheet'!J10</f>
        <v>2400632.6589644183</v>
      </c>
      <c r="J15" s="76">
        <f>'Working sheet'!K10</f>
        <v>1689565.5006152792</v>
      </c>
      <c r="K15" s="76">
        <f>'Working sheet'!L10</f>
        <v>306930.94060643652</v>
      </c>
      <c r="L15" s="76">
        <f>'Working sheet'!M10</f>
        <v>330184.30487053358</v>
      </c>
      <c r="M15" s="76">
        <f>'Working sheet'!N10</f>
        <v>336974.41114133189</v>
      </c>
    </row>
    <row r="16" spans="1:13" ht="15.75" thickBot="1">
      <c r="A16" s="2"/>
      <c r="B16" s="2" t="s">
        <v>155</v>
      </c>
      <c r="C16" s="21"/>
      <c r="D16" s="76">
        <f>'Working sheet'!E15</f>
        <v>-11952063.178831441</v>
      </c>
      <c r="E16" s="76">
        <f>'Working sheet'!F15</f>
        <v>-3880787.0079837688</v>
      </c>
      <c r="F16" s="76">
        <f>'Working sheet'!G15</f>
        <v>-2114032.7050005002</v>
      </c>
      <c r="G16" s="76">
        <f>'Working sheet'!H15</f>
        <v>-1220677.2978502447</v>
      </c>
      <c r="H16" s="76">
        <f>'Working sheet'!I15</f>
        <v>-12774939.53701725</v>
      </c>
      <c r="I16" s="76">
        <f>'Working sheet'!J15</f>
        <v>-4801265.3179288367</v>
      </c>
      <c r="J16" s="76">
        <f>'Working sheet'!K15</f>
        <v>-3379131.0012305584</v>
      </c>
      <c r="K16" s="76">
        <f>'Working sheet'!L15</f>
        <v>-613861.88121287304</v>
      </c>
      <c r="L16" s="76">
        <f>'Working sheet'!M15</f>
        <v>-660368.60974106716</v>
      </c>
      <c r="M16" s="76">
        <f>'Working sheet'!N15</f>
        <v>-673948.82228266378</v>
      </c>
    </row>
    <row r="17" spans="1:15" ht="15.75" thickBot="1">
      <c r="A17" s="2"/>
      <c r="B17" s="2"/>
      <c r="C17" s="21"/>
      <c r="D17" s="22"/>
      <c r="E17" s="22"/>
      <c r="F17" s="22"/>
      <c r="G17" s="22"/>
      <c r="H17" s="22"/>
      <c r="I17" s="22"/>
      <c r="J17" s="24"/>
      <c r="K17" s="2"/>
    </row>
    <row r="18" spans="1:15" ht="15.75" thickBot="1">
      <c r="A18" s="2">
        <v>4</v>
      </c>
      <c r="B18" s="2" t="s">
        <v>118</v>
      </c>
      <c r="C18" s="59">
        <f>C8</f>
        <v>0</v>
      </c>
      <c r="D18" s="60">
        <f>D9</f>
        <v>76355999.999999985</v>
      </c>
      <c r="E18" s="60">
        <f>E9</f>
        <v>103488000</v>
      </c>
      <c r="F18" s="26">
        <f t="shared" ref="F18:M18" si="2">F9</f>
        <v>124488000</v>
      </c>
      <c r="G18" s="26">
        <f t="shared" si="2"/>
        <v>126483000</v>
      </c>
      <c r="H18" s="26">
        <f t="shared" si="2"/>
        <v>189336000</v>
      </c>
      <c r="I18" s="26">
        <f t="shared" si="2"/>
        <v>219072000</v>
      </c>
      <c r="J18" s="26">
        <f t="shared" si="2"/>
        <v>229067999.99999997</v>
      </c>
      <c r="K18" s="26">
        <f t="shared" si="2"/>
        <v>241793999.99999997</v>
      </c>
      <c r="L18" s="26">
        <f t="shared" si="2"/>
        <v>241793999.99999997</v>
      </c>
      <c r="M18" s="26">
        <f t="shared" si="2"/>
        <v>241793999.99999997</v>
      </c>
    </row>
    <row r="19" spans="1:15" ht="15.75" thickBot="1">
      <c r="A19" s="2"/>
      <c r="B19" s="2"/>
      <c r="C19" s="21"/>
      <c r="D19" s="22"/>
      <c r="E19" s="22"/>
      <c r="F19" s="22"/>
      <c r="G19" s="22"/>
      <c r="H19" s="22"/>
      <c r="I19" s="22"/>
      <c r="J19" s="24"/>
      <c r="K19" s="2"/>
    </row>
    <row r="20" spans="1:15" ht="15.75" thickBot="1">
      <c r="A20" s="17" t="s">
        <v>2</v>
      </c>
      <c r="B20" s="17" t="s">
        <v>47</v>
      </c>
      <c r="C20" s="21"/>
      <c r="D20" s="22"/>
      <c r="E20" s="22"/>
      <c r="F20" s="22"/>
      <c r="G20" s="22"/>
      <c r="H20" s="22"/>
      <c r="I20" s="22"/>
      <c r="J20" s="24"/>
      <c r="K20" s="2"/>
    </row>
    <row r="21" spans="1:15" ht="15.75" thickBot="1">
      <c r="A21" s="2"/>
      <c r="B21" s="2"/>
      <c r="C21" s="21"/>
      <c r="D21" s="22"/>
      <c r="E21" s="22"/>
      <c r="F21" s="22"/>
      <c r="G21" s="22"/>
      <c r="H21" s="22"/>
      <c r="I21" s="22"/>
      <c r="J21" s="24"/>
      <c r="K21" s="2"/>
    </row>
    <row r="22" spans="1:15" ht="15.75" thickBot="1">
      <c r="A22" s="2">
        <v>1</v>
      </c>
      <c r="B22" s="2" t="s">
        <v>48</v>
      </c>
      <c r="C22" s="25">
        <f>C8</f>
        <v>0</v>
      </c>
      <c r="D22" s="22"/>
      <c r="E22" s="22"/>
      <c r="F22" s="22"/>
      <c r="G22" s="22"/>
      <c r="H22" s="22"/>
      <c r="I22" s="22"/>
      <c r="J22" s="24"/>
      <c r="K22" s="2"/>
    </row>
    <row r="23" spans="1:15" ht="15.75" thickBot="1">
      <c r="A23" s="2"/>
      <c r="B23" s="2"/>
      <c r="C23" s="21"/>
      <c r="D23" s="22"/>
      <c r="E23" s="22"/>
      <c r="F23" s="22"/>
      <c r="G23" s="22"/>
      <c r="H23" s="22"/>
      <c r="I23" s="22"/>
      <c r="J23" s="24"/>
      <c r="K23" s="2"/>
    </row>
    <row r="24" spans="1:15" ht="15.75" thickBot="1">
      <c r="A24" s="2">
        <v>2</v>
      </c>
      <c r="B24" s="34" t="s">
        <v>49</v>
      </c>
      <c r="C24" s="21"/>
      <c r="D24" s="22"/>
      <c r="E24" s="22"/>
      <c r="F24" s="22"/>
      <c r="G24" s="22"/>
      <c r="H24" s="22"/>
      <c r="I24" s="22"/>
      <c r="J24" s="24"/>
      <c r="K24" s="2"/>
    </row>
    <row r="25" spans="1:15" ht="15.75" thickBot="1">
      <c r="A25" s="2"/>
      <c r="B25" s="2" t="s">
        <v>125</v>
      </c>
      <c r="C25" s="21"/>
      <c r="D25" s="35">
        <f>Opex!D8+Opex!D9+Opex!D10+Opex!D12+Opex!D15+Opex!D17+Opex!D19</f>
        <v>25214676.271454796</v>
      </c>
      <c r="E25" s="35">
        <v>27063843.190680083</v>
      </c>
      <c r="F25" s="35">
        <v>27063843.190680083</v>
      </c>
      <c r="G25" s="35">
        <v>27063843.190680083</v>
      </c>
      <c r="H25" s="35">
        <v>27063843.190680083</v>
      </c>
      <c r="I25" s="35">
        <v>27063843.190680083</v>
      </c>
      <c r="J25" s="35">
        <v>27063843.190680083</v>
      </c>
      <c r="K25" s="35">
        <v>27063843.190680083</v>
      </c>
      <c r="L25" s="35">
        <v>27063843.190680083</v>
      </c>
      <c r="M25" s="35">
        <v>31043737.654680081</v>
      </c>
    </row>
    <row r="26" spans="1:15" ht="15.75" thickBot="1">
      <c r="A26" s="2"/>
      <c r="B26" s="2" t="s">
        <v>119</v>
      </c>
      <c r="C26" s="21"/>
      <c r="D26" s="35">
        <f>(Opex!D4*0.6)/2</f>
        <v>49140000</v>
      </c>
      <c r="E26" s="35">
        <f>(Opex!D4*0.8)/2</f>
        <v>65520000</v>
      </c>
      <c r="F26" s="35">
        <f>(Opex!D4*0.95)/2</f>
        <v>77805000</v>
      </c>
      <c r="G26" s="35">
        <f>(Opex!D4*0.95)/2</f>
        <v>77805000</v>
      </c>
      <c r="H26" s="35">
        <f>(Opex!D4*0.7)</f>
        <v>114660000</v>
      </c>
      <c r="I26" s="35">
        <f>(Opex!F4*0.8)</f>
        <v>9605232000</v>
      </c>
      <c r="J26" s="35">
        <f>(Opex!D4*0.8)</f>
        <v>131040000</v>
      </c>
      <c r="K26" s="35">
        <f>(Opex!D4*0.8)</f>
        <v>131040000</v>
      </c>
      <c r="L26" s="35">
        <f>(Opex!D4*0.8)</f>
        <v>131040000</v>
      </c>
      <c r="M26" s="35">
        <f>(Opex!D4*0.8)</f>
        <v>131040000</v>
      </c>
    </row>
    <row r="27" spans="1:15" ht="15.75" thickBot="1">
      <c r="A27" s="2"/>
      <c r="B27" s="2" t="s">
        <v>124</v>
      </c>
      <c r="C27" s="21"/>
      <c r="D27" s="35">
        <f>((Opex!D5+Opex!D6)*0.6)/2</f>
        <v>692874</v>
      </c>
      <c r="E27" s="35">
        <f>((Opex!D6+Opex!D5)*0.8)/2</f>
        <v>923832</v>
      </c>
      <c r="F27" s="35">
        <f>((Opex!D6+Opex!D5)*0.95)/2</f>
        <v>1097050.5</v>
      </c>
      <c r="G27" s="35">
        <f>((Opex!D6+Opex!D5)*0.95)/2</f>
        <v>1097050.5</v>
      </c>
      <c r="H27" s="35">
        <f>((Opex!D6+Opex!D5)*0.7)</f>
        <v>1616706</v>
      </c>
      <c r="I27" s="35">
        <f>((Opex!D6+Opex!D5)*0.8)</f>
        <v>1847664</v>
      </c>
      <c r="J27" s="35">
        <f>((Opex!D6+Opex!D5)*0.95)</f>
        <v>2194101</v>
      </c>
      <c r="K27" s="35">
        <f>((Opex!D6+Opex!D5)*0.95)</f>
        <v>2194101</v>
      </c>
      <c r="L27" s="35">
        <f>((Opex!D6+Opex!D5)*0.95)</f>
        <v>2194101</v>
      </c>
      <c r="M27" s="35">
        <f>((Opex!D6+Opex!D5)*0.95)</f>
        <v>2194101</v>
      </c>
    </row>
    <row r="28" spans="1:15" ht="15.75" thickBot="1">
      <c r="A28" s="2"/>
      <c r="B28" s="2" t="s">
        <v>123</v>
      </c>
      <c r="C28" s="21"/>
      <c r="D28" s="35">
        <f>((Opex!$D$7+Opex!$D$11+Opex!$D$18)*0.6)/2</f>
        <v>11713110.83071897</v>
      </c>
      <c r="E28" s="35">
        <f>((Opex!$D$7+Opex!$D$11+Opex!$D$18)*0.8)/2</f>
        <v>15617481.107625294</v>
      </c>
      <c r="F28" s="35">
        <f>((Opex!$D$7+Opex!$D$11+Opex!$D$18)*0.95)/2</f>
        <v>18545758.815305036</v>
      </c>
      <c r="G28" s="35">
        <f>((Opex!$D$7+Opex!$D$11+Opex!$D$18)*0.95)/2</f>
        <v>18545758.815305036</v>
      </c>
      <c r="H28" s="35">
        <f>((Opex!$D$7+Opex!$D$11+Opex!$D$18)*0.7)</f>
        <v>27330591.938344263</v>
      </c>
      <c r="I28" s="35">
        <f>((Opex!$D$7+Opex!$D$11+Opex!$D$18)*0.8)</f>
        <v>31234962.215250589</v>
      </c>
      <c r="J28" s="35">
        <f>((Opex!$D$7+Opex!$D$11+Opex!$D$18)*0.9)</f>
        <v>35139332.492156915</v>
      </c>
      <c r="K28" s="35">
        <f>((Opex!$D$7+Opex!$D$11+Opex!$D$18)*0.95)</f>
        <v>37091517.630610071</v>
      </c>
      <c r="L28" s="35">
        <f>((Opex!$D$7+Opex!$D$11+Opex!$D$18)*0.95)</f>
        <v>37091517.630610071</v>
      </c>
      <c r="M28" s="35">
        <f>((Opex!$D$7+Opex!$D$11+Opex!$D$18)*0.95)</f>
        <v>37091517.630610071</v>
      </c>
    </row>
    <row r="29" spans="1:15" ht="15.75" thickBot="1">
      <c r="A29" s="2"/>
      <c r="B29" s="2" t="s">
        <v>108</v>
      </c>
      <c r="C29" s="21"/>
      <c r="D29" s="26">
        <v>0</v>
      </c>
      <c r="E29" s="26">
        <v>0</v>
      </c>
      <c r="F29" s="26">
        <v>0</v>
      </c>
      <c r="G29" s="26">
        <v>0</v>
      </c>
      <c r="H29" s="26">
        <v>0</v>
      </c>
      <c r="I29" s="26">
        <v>0</v>
      </c>
      <c r="J29" s="26">
        <v>0</v>
      </c>
      <c r="K29" s="2"/>
    </row>
    <row r="30" spans="1:15" ht="15.75" thickBot="1">
      <c r="A30" s="2"/>
      <c r="B30" s="2" t="s">
        <v>50</v>
      </c>
      <c r="C30" s="21"/>
      <c r="D30" s="35">
        <f>SUM(D25:D29)</f>
        <v>86760661.102173761</v>
      </c>
      <c r="E30" s="35">
        <f t="shared" ref="E30:M30" si="3">SUM(E25:E29)</f>
        <v>109125156.29830538</v>
      </c>
      <c r="F30" s="35">
        <f t="shared" si="3"/>
        <v>124511652.50598513</v>
      </c>
      <c r="G30" s="35">
        <f t="shared" si="3"/>
        <v>124511652.50598513</v>
      </c>
      <c r="H30" s="35">
        <f t="shared" si="3"/>
        <v>170671141.12902436</v>
      </c>
      <c r="I30" s="35">
        <f t="shared" si="3"/>
        <v>9665378469.4059296</v>
      </c>
      <c r="J30" s="35">
        <f t="shared" si="3"/>
        <v>195437276.68283701</v>
      </c>
      <c r="K30" s="35">
        <f t="shared" si="3"/>
        <v>197389461.82129017</v>
      </c>
      <c r="L30" s="35">
        <f t="shared" si="3"/>
        <v>197389461.82129017</v>
      </c>
      <c r="M30" s="35">
        <f t="shared" si="3"/>
        <v>201369356.28529015</v>
      </c>
    </row>
    <row r="31" spans="1:15" ht="15.75" thickBot="1">
      <c r="A31" s="2"/>
      <c r="B31" s="2"/>
      <c r="C31" s="21"/>
      <c r="D31" s="22"/>
      <c r="E31" s="22"/>
      <c r="F31" s="22"/>
      <c r="G31" s="22"/>
      <c r="H31" s="22"/>
      <c r="I31" s="22"/>
      <c r="J31" s="24"/>
      <c r="K31" s="2"/>
    </row>
    <row r="32" spans="1:15" ht="15.75" thickBot="1">
      <c r="A32" s="2">
        <v>3</v>
      </c>
      <c r="B32" s="2" t="s">
        <v>51</v>
      </c>
      <c r="C32" s="21"/>
      <c r="D32" s="35">
        <f>D9-D30</f>
        <v>-10404661.102173775</v>
      </c>
      <c r="E32" s="35">
        <f>E9-E30</f>
        <v>-5637156.2983053774</v>
      </c>
      <c r="F32" s="35">
        <f t="shared" ref="F32:O32" si="4">F9-F30</f>
        <v>-23652.505985125899</v>
      </c>
      <c r="G32" s="35">
        <f t="shared" si="4"/>
        <v>1971347.4940148741</v>
      </c>
      <c r="H32" s="35">
        <f t="shared" si="4"/>
        <v>18664858.870975643</v>
      </c>
      <c r="I32" s="35">
        <f t="shared" si="4"/>
        <v>-9446306469.4059296</v>
      </c>
      <c r="J32" s="35">
        <f t="shared" si="4"/>
        <v>33630723.317162961</v>
      </c>
      <c r="K32" s="35">
        <f t="shared" si="4"/>
        <v>44404538.178709805</v>
      </c>
      <c r="L32" s="35">
        <f t="shared" si="4"/>
        <v>44404538.178709805</v>
      </c>
      <c r="M32" s="35">
        <f t="shared" si="4"/>
        <v>40424643.714709818</v>
      </c>
      <c r="N32" s="35">
        <f t="shared" si="4"/>
        <v>0</v>
      </c>
      <c r="O32" s="35">
        <f t="shared" si="4"/>
        <v>0</v>
      </c>
    </row>
    <row r="33" spans="1:11" ht="15.75" thickBot="1">
      <c r="A33" s="2"/>
      <c r="B33" s="2"/>
      <c r="C33" s="21"/>
      <c r="D33" s="22"/>
      <c r="E33" s="22"/>
      <c r="F33" s="22"/>
      <c r="G33" s="22"/>
      <c r="H33" s="22"/>
      <c r="I33" s="22"/>
      <c r="J33" s="24"/>
      <c r="K33" s="2"/>
    </row>
    <row r="34" spans="1:11" ht="15.75" thickBot="1">
      <c r="A34" s="2">
        <v>4</v>
      </c>
      <c r="B34" s="2" t="s">
        <v>52</v>
      </c>
      <c r="C34" s="21"/>
      <c r="D34" s="35">
        <v>3108458.39017735</v>
      </c>
      <c r="E34" s="35">
        <v>3108458.3901773538</v>
      </c>
      <c r="F34" s="35">
        <v>3108458.3901773538</v>
      </c>
      <c r="G34" s="35">
        <v>3108458.39017735</v>
      </c>
      <c r="H34" s="35">
        <v>3108458.3901773538</v>
      </c>
      <c r="I34" s="35">
        <v>3108458.3901773538</v>
      </c>
      <c r="J34" s="35">
        <v>3108458.3901773538</v>
      </c>
      <c r="K34" s="2"/>
    </row>
    <row r="35" spans="1:11" ht="15.75" thickBot="1">
      <c r="A35" s="2"/>
      <c r="B35" s="2"/>
      <c r="C35" s="21"/>
      <c r="D35" s="35"/>
      <c r="E35" s="35"/>
      <c r="F35" s="35"/>
      <c r="G35" s="35"/>
      <c r="H35" s="35"/>
      <c r="I35" s="35"/>
      <c r="J35" s="35"/>
      <c r="K35" s="2"/>
    </row>
    <row r="36" spans="1:11" ht="15.75" thickBot="1">
      <c r="A36" s="2">
        <v>5</v>
      </c>
      <c r="B36" s="2" t="s">
        <v>127</v>
      </c>
      <c r="C36" s="21"/>
      <c r="D36" s="35">
        <f>(D32-D34)*30%</f>
        <v>-4053935.8477053377</v>
      </c>
      <c r="E36" s="35">
        <f t="shared" ref="E36:J36" si="5">(E32-E34)*30%</f>
        <v>-2623684.4065448195</v>
      </c>
      <c r="F36" s="35">
        <f t="shared" si="5"/>
        <v>-939633.26884874387</v>
      </c>
      <c r="G36" s="35">
        <f t="shared" si="5"/>
        <v>-341133.26884874277</v>
      </c>
      <c r="H36" s="35">
        <f t="shared" si="5"/>
        <v>4666920.1442394862</v>
      </c>
      <c r="I36" s="35">
        <f t="shared" si="5"/>
        <v>-2834824478.3388319</v>
      </c>
      <c r="J36" s="35">
        <f t="shared" si="5"/>
        <v>9156679.4780956823</v>
      </c>
      <c r="K36" s="2"/>
    </row>
    <row r="37" spans="1:11" ht="15.75" thickBot="1">
      <c r="A37" s="17" t="s">
        <v>3</v>
      </c>
      <c r="B37" s="17" t="s">
        <v>53</v>
      </c>
      <c r="C37" s="25">
        <f>-C22</f>
        <v>0</v>
      </c>
      <c r="D37" s="35">
        <f>D32-D34-D36</f>
        <v>-9459183.6446457878</v>
      </c>
      <c r="E37" s="35">
        <f t="shared" ref="E37:J37" si="6">E32-E34-E36</f>
        <v>-6121930.2819379121</v>
      </c>
      <c r="F37" s="35">
        <f t="shared" si="6"/>
        <v>-2192477.6273137359</v>
      </c>
      <c r="G37" s="35">
        <f t="shared" si="6"/>
        <v>-795977.6273137331</v>
      </c>
      <c r="H37" s="35">
        <f t="shared" si="6"/>
        <v>10889480.336558804</v>
      </c>
      <c r="I37" s="35">
        <f t="shared" si="6"/>
        <v>-6614590449.4572744</v>
      </c>
      <c r="J37" s="35">
        <f t="shared" si="6"/>
        <v>21365585.448889926</v>
      </c>
      <c r="K37" s="2"/>
    </row>
    <row r="38" spans="1:11" ht="15.75" thickBot="1">
      <c r="A38" s="2"/>
      <c r="B38" s="2" t="s">
        <v>130</v>
      </c>
      <c r="C38" s="22">
        <f>C37</f>
        <v>0</v>
      </c>
      <c r="D38" s="61">
        <f>C38+D37</f>
        <v>-9459183.6446457878</v>
      </c>
      <c r="E38" s="61">
        <f t="shared" ref="E38:J38" si="7">D38+E37</f>
        <v>-15581113.9265837</v>
      </c>
      <c r="F38" s="61">
        <f t="shared" si="7"/>
        <v>-17773591.553897437</v>
      </c>
      <c r="G38" s="61">
        <f t="shared" si="7"/>
        <v>-18569569.18121117</v>
      </c>
      <c r="H38" s="61">
        <f t="shared" si="7"/>
        <v>-7680088.8446523659</v>
      </c>
      <c r="I38" s="61">
        <f t="shared" si="7"/>
        <v>-6622270538.3019266</v>
      </c>
      <c r="J38" s="61">
        <f t="shared" si="7"/>
        <v>-6600904952.8530369</v>
      </c>
      <c r="K38" s="51"/>
    </row>
    <row r="39" spans="1:11" ht="15.75" thickBot="1">
      <c r="A39" s="2"/>
      <c r="B39" s="2"/>
      <c r="C39" s="22"/>
      <c r="D39" s="22"/>
      <c r="E39" s="22"/>
      <c r="F39" s="22"/>
      <c r="G39" s="22"/>
      <c r="H39" s="22"/>
      <c r="I39" s="22"/>
      <c r="J39" s="22"/>
      <c r="K39" s="51"/>
    </row>
    <row r="40" spans="1:11" ht="15.75" thickBot="1">
      <c r="A40" s="2"/>
      <c r="B40" s="2" t="s">
        <v>129</v>
      </c>
      <c r="C40" s="22"/>
      <c r="D40" s="22">
        <f>1/(1+$C$45)</f>
        <v>0.90909090909090906</v>
      </c>
      <c r="E40" s="22">
        <f t="shared" ref="E40:J40" si="8">D40/(1+$C$45)</f>
        <v>0.82644628099173545</v>
      </c>
      <c r="F40" s="22">
        <f t="shared" si="8"/>
        <v>0.75131480090157765</v>
      </c>
      <c r="G40" s="22">
        <f t="shared" si="8"/>
        <v>0.68301345536507052</v>
      </c>
      <c r="H40" s="22">
        <f t="shared" si="8"/>
        <v>0.62092132305915493</v>
      </c>
      <c r="I40" s="22">
        <f t="shared" si="8"/>
        <v>0.56447393005377711</v>
      </c>
      <c r="J40" s="22">
        <f t="shared" si="8"/>
        <v>0.51315811823070645</v>
      </c>
      <c r="K40" s="51"/>
    </row>
    <row r="41" spans="1:11" ht="15.75" thickBot="1">
      <c r="A41" s="2"/>
      <c r="B41" s="2" t="s">
        <v>132</v>
      </c>
      <c r="C41" s="21"/>
      <c r="D41" s="53">
        <f t="shared" ref="D41:J41" si="9">D37*D40</f>
        <v>-8599257.8587688971</v>
      </c>
      <c r="E41" s="53">
        <f t="shared" si="9"/>
        <v>-5059446.5139982738</v>
      </c>
      <c r="F41" s="53">
        <f t="shared" si="9"/>
        <v>-1647240.8920463829</v>
      </c>
      <c r="G41" s="53">
        <f t="shared" si="9"/>
        <v>-543663.42962484318</v>
      </c>
      <c r="H41" s="53">
        <f t="shared" si="9"/>
        <v>6761510.5380027443</v>
      </c>
      <c r="I41" s="53">
        <f t="shared" si="9"/>
        <v>-3733763866.7013278</v>
      </c>
      <c r="J41" s="53">
        <f t="shared" si="9"/>
        <v>10963923.623849718</v>
      </c>
      <c r="K41" s="51"/>
    </row>
    <row r="42" spans="1:11" ht="15.75" thickBot="1">
      <c r="A42" s="2"/>
      <c r="B42" s="66" t="s">
        <v>54</v>
      </c>
      <c r="C42" s="52">
        <f>SUM(D41:J41)+SUM(C37:C37)</f>
        <v>-3731888041.2339134</v>
      </c>
      <c r="D42" s="27"/>
      <c r="E42" s="27"/>
      <c r="F42" s="27"/>
      <c r="G42" s="27"/>
      <c r="H42" s="27"/>
      <c r="I42" s="27"/>
      <c r="J42" s="28"/>
      <c r="K42" s="2"/>
    </row>
    <row r="43" spans="1:11" ht="15.75" thickBot="1">
      <c r="A43" s="2"/>
      <c r="B43" s="63" t="s">
        <v>55</v>
      </c>
      <c r="C43" s="50" t="e">
        <f>IRR(C37:J37,6%)</f>
        <v>#NUM!</v>
      </c>
      <c r="D43" s="27"/>
      <c r="E43" s="27"/>
      <c r="F43" s="27"/>
      <c r="G43" s="27"/>
      <c r="H43" s="27"/>
      <c r="I43" s="27"/>
      <c r="J43" s="28"/>
      <c r="K43" s="2"/>
    </row>
    <row r="44" spans="1:11" ht="15.75" thickBot="1">
      <c r="A44" s="1"/>
      <c r="B44" s="64" t="s">
        <v>131</v>
      </c>
      <c r="C44" s="62">
        <f>3+(-F38/G37)</f>
        <v>-19.329260200289536</v>
      </c>
      <c r="D44" s="55"/>
      <c r="E44" s="55"/>
      <c r="F44" s="55"/>
      <c r="G44" s="55"/>
      <c r="H44" s="55"/>
      <c r="I44" s="55"/>
      <c r="J44" s="56"/>
      <c r="K44" s="1"/>
    </row>
    <row r="45" spans="1:11" ht="15.75" thickBot="1">
      <c r="B45" s="65" t="s">
        <v>113</v>
      </c>
      <c r="C45" s="67">
        <v>0.1</v>
      </c>
    </row>
    <row r="50" spans="3:10">
      <c r="J50" s="47"/>
    </row>
  </sheetData>
  <mergeCells count="2">
    <mergeCell ref="D3:K3"/>
    <mergeCell ref="C2:M2"/>
  </mergeCells>
  <hyperlinks>
    <hyperlink ref="B42" r:id="rId1" xr:uid="{1AE71A79-D5BA-4CA7-845E-4CB4AE685C06}"/>
  </hyperlinks>
  <pageMargins left="0.7" right="0.7" top="0.75" bottom="0.75" header="0.3" footer="0.3"/>
  <pageSetup orientation="portrait"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Cover Page</vt:lpstr>
      <vt:lpstr>Equipment List </vt:lpstr>
      <vt:lpstr>Capex</vt:lpstr>
      <vt:lpstr>Opex Segmental(84 KTPA)</vt:lpstr>
      <vt:lpstr>Opex</vt:lpstr>
      <vt:lpstr>Opex Total(84 KTPA)</vt:lpstr>
      <vt:lpstr>Salary and Wages Estimation</vt:lpstr>
      <vt:lpstr>Cash Flow Epoxy Resin</vt:lpstr>
      <vt:lpstr>Cash Flow</vt:lpstr>
      <vt:lpstr>Cost of Production - LER</vt:lpstr>
      <vt:lpstr>Cost of Production - SER</vt:lpstr>
      <vt:lpstr>Cost of Production - SSER</vt:lpstr>
      <vt:lpstr>Cost of Production- Specialized</vt:lpstr>
      <vt:lpstr>Working sheet</vt:lpstr>
      <vt:lpstr>India - Epoxy Resin</vt:lpstr>
      <vt:lpstr>India-Raw Material Prices </vt:lpstr>
      <vt:lpstr>China Epoxy Resin</vt:lpstr>
      <vt:lpstr>India-Epoxy Resin Prices </vt:lpstr>
      <vt:lpstr>South Korea</vt:lpstr>
      <vt:lpstr>Germany</vt:lpstr>
      <vt:lpstr>USA</vt:lpstr>
      <vt:lpstr>India Market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Jaideep Kumar</dc:creator>
  <cp:lastModifiedBy>Hardik Malhotra</cp:lastModifiedBy>
  <cp:lastPrinted>2021-10-13T09:48:19Z</cp:lastPrinted>
  <dcterms:created xsi:type="dcterms:W3CDTF">2021-09-28T07:47:51Z</dcterms:created>
  <dcterms:modified xsi:type="dcterms:W3CDTF">2021-12-29T15:16:02Z</dcterms:modified>
</cp:coreProperties>
</file>